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EMENT EAU\14 - Analyse comparative\10. AC - Données 2025\1. Questionnaires vides\"/>
    </mc:Choice>
  </mc:AlternateContent>
  <xr:revisionPtr revIDLastSave="0" documentId="13_ncr:1_{D9C71F80-447C-49ED-B85A-A77EF38CDEE6}" xr6:coauthVersionLast="47" xr6:coauthVersionMax="47" xr10:uidLastSave="{00000000-0000-0000-0000-000000000000}"/>
  <bookViews>
    <workbookView xWindow="-75" yWindow="-16320" windowWidth="29040" windowHeight="15720" activeTab="3" xr2:uid="{00000000-000D-0000-FFFF-FFFF00000000}"/>
  </bookViews>
  <sheets>
    <sheet name="Notice" sheetId="11" r:id="rId1"/>
    <sheet name="Contexte" sheetId="2" r:id="rId2"/>
    <sheet name="service aux usagers" sheetId="6" r:id="rId3"/>
    <sheet name="activité de contrôle" sheetId="4" r:id="rId4"/>
    <sheet name="Organisation du service" sheetId="7" r:id="rId5"/>
    <sheet name="Aspects financiers" sheetId="8" r:id="rId6"/>
    <sheet name="EXTRACTION" sheetId="5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3" i="4" l="1"/>
  <c r="D43" i="6"/>
  <c r="D25" i="7"/>
  <c r="D8" i="7" a="1"/>
  <c r="D8" i="7" s="1"/>
  <c r="H14" i="4"/>
  <c r="H6" i="4"/>
  <c r="D21" i="4"/>
  <c r="D22" i="7" s="1"/>
  <c r="D21" i="7"/>
  <c r="D14" i="8" a="1"/>
  <c r="D14" i="8" s="1"/>
  <c r="H6" i="6"/>
  <c r="C28" i="5"/>
  <c r="D28" i="5"/>
  <c r="D29" i="5"/>
  <c r="D30" i="5"/>
  <c r="D31" i="5"/>
  <c r="D32" i="5"/>
  <c r="C33" i="5"/>
  <c r="D33" i="5"/>
  <c r="C34" i="5"/>
  <c r="D34" i="5"/>
  <c r="D35" i="5"/>
  <c r="C36" i="5"/>
  <c r="D36" i="5"/>
  <c r="C37" i="5"/>
  <c r="D37" i="5"/>
  <c r="D38" i="5"/>
  <c r="D39" i="5"/>
  <c r="D40" i="5"/>
  <c r="D41" i="5"/>
  <c r="C42" i="5"/>
  <c r="D42" i="5"/>
  <c r="D43" i="5"/>
  <c r="C44" i="5"/>
  <c r="D44" i="5"/>
  <c r="C45" i="5"/>
  <c r="D45" i="5"/>
  <c r="C46" i="5"/>
  <c r="D46" i="5"/>
  <c r="D47" i="5"/>
  <c r="D48" i="5"/>
  <c r="D49" i="5"/>
  <c r="C50" i="5"/>
  <c r="D50" i="5"/>
  <c r="D51" i="5"/>
  <c r="C52" i="5"/>
  <c r="D52" i="5"/>
  <c r="D53" i="5"/>
  <c r="C54" i="5"/>
  <c r="D54" i="5"/>
  <c r="D55" i="5"/>
  <c r="C56" i="5"/>
  <c r="D56" i="5"/>
  <c r="D57" i="5"/>
  <c r="C58" i="5"/>
  <c r="D58" i="5"/>
  <c r="D59" i="5"/>
  <c r="C60" i="5"/>
  <c r="D60" i="5"/>
  <c r="D61" i="5"/>
  <c r="D62" i="5"/>
  <c r="C63" i="5"/>
  <c r="D63" i="5"/>
  <c r="C64" i="5"/>
  <c r="D64" i="5"/>
  <c r="C65" i="5"/>
  <c r="D65" i="5"/>
  <c r="C66" i="5"/>
  <c r="D66" i="5"/>
  <c r="D67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D75" i="5"/>
  <c r="C76" i="5"/>
  <c r="D76" i="5"/>
  <c r="C77" i="5"/>
  <c r="D77" i="5"/>
  <c r="D78" i="5"/>
  <c r="C79" i="5"/>
  <c r="D79" i="5"/>
  <c r="D80" i="5"/>
  <c r="D81" i="5"/>
  <c r="C82" i="5"/>
  <c r="D82" i="5"/>
  <c r="C83" i="5"/>
  <c r="D83" i="5"/>
  <c r="C84" i="5"/>
  <c r="D84" i="5"/>
  <c r="C85" i="5"/>
  <c r="D85" i="5"/>
  <c r="D86" i="5"/>
  <c r="C87" i="5"/>
  <c r="D87" i="5"/>
  <c r="C88" i="5"/>
  <c r="D88" i="5"/>
  <c r="D27" i="5"/>
  <c r="C27" i="5"/>
  <c r="D9" i="4"/>
  <c r="C31" i="5" s="1"/>
  <c r="D179" i="5"/>
  <c r="C179" i="5"/>
  <c r="B179" i="5"/>
  <c r="A179" i="5"/>
  <c r="D44" i="7"/>
  <c r="D43" i="7"/>
  <c r="D42" i="7"/>
  <c r="D30" i="8"/>
  <c r="D29" i="8"/>
  <c r="D28" i="8"/>
  <c r="D32" i="6" a="1"/>
  <c r="D32" i="6" s="1"/>
  <c r="D31" i="6" a="1"/>
  <c r="D31" i="6" s="1"/>
  <c r="D19" i="6" l="1" a="1"/>
  <c r="D19" i="6" s="1"/>
  <c r="D157" i="5"/>
  <c r="C157" i="5"/>
  <c r="B157" i="5"/>
  <c r="A157" i="5"/>
  <c r="D26" i="5" l="1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D39" i="4"/>
  <c r="C61" i="5" s="1"/>
  <c r="D37" i="4"/>
  <c r="C59" i="5" s="1"/>
  <c r="D35" i="4"/>
  <c r="C57" i="5" s="1"/>
  <c r="D31" i="4"/>
  <c r="C53" i="5" s="1"/>
  <c r="D33" i="4"/>
  <c r="C55" i="5" s="1"/>
  <c r="D29" i="4"/>
  <c r="C51" i="5" s="1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C182" i="5"/>
  <c r="C187" i="5"/>
  <c r="C188" i="5"/>
  <c r="C189" i="5"/>
  <c r="C191" i="5"/>
  <c r="C192" i="5"/>
  <c r="C193" i="5"/>
  <c r="C194" i="5"/>
  <c r="C195" i="5"/>
  <c r="C196" i="5"/>
  <c r="C197" i="5"/>
  <c r="C199" i="5"/>
  <c r="C200" i="5"/>
  <c r="C201" i="5"/>
  <c r="C203" i="5"/>
  <c r="C204" i="5"/>
  <c r="C205" i="5"/>
  <c r="C206" i="5"/>
  <c r="C207" i="5"/>
  <c r="C208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181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C141" i="5"/>
  <c r="C142" i="5"/>
  <c r="C143" i="5"/>
  <c r="C145" i="5"/>
  <c r="C146" i="5"/>
  <c r="C147" i="5"/>
  <c r="C148" i="5"/>
  <c r="C149" i="5"/>
  <c r="C150" i="5"/>
  <c r="C151" i="5"/>
  <c r="C152" i="5"/>
  <c r="C153" i="5"/>
  <c r="C154" i="5"/>
  <c r="C158" i="5"/>
  <c r="C160" i="5"/>
  <c r="C161" i="5"/>
  <c r="C162" i="5"/>
  <c r="C163" i="5"/>
  <c r="C166" i="5"/>
  <c r="C167" i="5"/>
  <c r="C168" i="5"/>
  <c r="C169" i="5"/>
  <c r="C176" i="5"/>
  <c r="C177" i="5"/>
  <c r="C178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C92" i="5"/>
  <c r="C94" i="5"/>
  <c r="C95" i="5"/>
  <c r="C97" i="5"/>
  <c r="C98" i="5"/>
  <c r="C99" i="5"/>
  <c r="C100" i="5"/>
  <c r="C105" i="5"/>
  <c r="C109" i="5"/>
  <c r="C110" i="5"/>
  <c r="C111" i="5"/>
  <c r="C112" i="5"/>
  <c r="C113" i="5"/>
  <c r="C117" i="5"/>
  <c r="C118" i="5"/>
  <c r="C120" i="5"/>
  <c r="C122" i="5"/>
  <c r="C123" i="5"/>
  <c r="C124" i="5"/>
  <c r="C126" i="5"/>
  <c r="C127" i="5"/>
  <c r="C128" i="5"/>
  <c r="C129" i="5"/>
  <c r="C130" i="5"/>
  <c r="C131" i="5"/>
  <c r="C132" i="5"/>
  <c r="C134" i="5"/>
  <c r="C135" i="5"/>
  <c r="C136" i="5"/>
  <c r="C137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91" i="5"/>
  <c r="A133" i="5"/>
  <c r="A134" i="5"/>
  <c r="A135" i="5"/>
  <c r="A136" i="5"/>
  <c r="A137" i="5"/>
  <c r="A138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D89" i="5"/>
  <c r="A89" i="5"/>
  <c r="A91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C5" i="5"/>
  <c r="C6" i="5"/>
  <c r="C7" i="5"/>
  <c r="C8" i="5"/>
  <c r="C10" i="5"/>
  <c r="C11" i="5"/>
  <c r="C13" i="5"/>
  <c r="C14" i="5"/>
  <c r="C16" i="5"/>
  <c r="C17" i="5"/>
  <c r="C18" i="5"/>
  <c r="C19" i="5"/>
  <c r="C20" i="5"/>
  <c r="C21" i="5"/>
  <c r="C22" i="5"/>
  <c r="C23" i="5"/>
  <c r="C2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4" i="5"/>
  <c r="D9" i="8" l="1"/>
  <c r="C185" i="5" s="1"/>
  <c r="D37" i="7"/>
  <c r="C171" i="5" s="1"/>
  <c r="D38" i="7"/>
  <c r="C172" i="5" s="1"/>
  <c r="D36" i="7"/>
  <c r="C170" i="5" s="1"/>
  <c r="D39" i="7" l="1"/>
  <c r="C173" i="5" s="1"/>
  <c r="D29" i="6"/>
  <c r="C115" i="5" s="1"/>
  <c r="D30" i="6"/>
  <c r="C116" i="5" s="1"/>
  <c r="D28" i="6"/>
  <c r="C114" i="5" s="1"/>
  <c r="D33" i="6" l="1"/>
  <c r="C119" i="5" s="1"/>
  <c r="D7" i="4" l="1"/>
  <c r="C29" i="5" s="1"/>
  <c r="H15" i="4"/>
  <c r="D10" i="4"/>
  <c r="C32" i="5" s="1"/>
  <c r="D21" i="6"/>
  <c r="C107" i="5" s="1"/>
  <c r="D40" i="4"/>
  <c r="C62" i="5" s="1"/>
  <c r="D30" i="7"/>
  <c r="C164" i="5" s="1"/>
  <c r="D181" i="5"/>
  <c r="B181" i="5"/>
  <c r="C181" i="5"/>
  <c r="D140" i="5"/>
  <c r="B140" i="5"/>
  <c r="C140" i="5"/>
  <c r="A140" i="5"/>
  <c r="C138" i="5"/>
  <c r="B138" i="5"/>
  <c r="D91" i="5"/>
  <c r="C91" i="5"/>
  <c r="C89" i="5"/>
  <c r="B89" i="5"/>
  <c r="B27" i="5"/>
  <c r="A27" i="5"/>
  <c r="C25" i="5"/>
  <c r="B25" i="5"/>
  <c r="A25" i="5"/>
  <c r="I34" i="7"/>
  <c r="I35" i="7"/>
  <c r="I33" i="7"/>
  <c r="I25" i="6"/>
  <c r="I24" i="6"/>
  <c r="I23" i="6"/>
  <c r="D20" i="6"/>
  <c r="C106" i="5" s="1"/>
  <c r="D18" i="6"/>
  <c r="C104" i="5" s="1"/>
  <c r="D7" i="6"/>
  <c r="C43" i="5"/>
  <c r="D61" i="4"/>
  <c r="C81" i="5" s="1"/>
  <c r="H48" i="4"/>
  <c r="D46" i="4"/>
  <c r="C68" i="5" s="1"/>
  <c r="H23" i="4"/>
  <c r="H24" i="4"/>
  <c r="D27" i="4"/>
  <c r="C49" i="5" s="1"/>
  <c r="D26" i="4"/>
  <c r="C48" i="5" s="1"/>
  <c r="D25" i="4"/>
  <c r="C47" i="5" s="1"/>
  <c r="H5" i="4"/>
  <c r="H22" i="4"/>
  <c r="D11" i="2"/>
  <c r="C9" i="5" s="1"/>
  <c r="H7" i="2"/>
  <c r="D54" i="4" l="1"/>
  <c r="C159" i="5"/>
  <c r="D41" i="7"/>
  <c r="C175" i="5" s="1"/>
  <c r="D40" i="7"/>
  <c r="C174" i="5" s="1"/>
  <c r="D27" i="8"/>
  <c r="C202" i="5" s="1"/>
  <c r="H9" i="6"/>
  <c r="D10" i="8"/>
  <c r="C186" i="5" s="1"/>
  <c r="D16" i="6"/>
  <c r="C93" i="5"/>
  <c r="D17" i="4"/>
  <c r="C39" i="5" s="1"/>
  <c r="D18" i="4"/>
  <c r="C40" i="5" s="1"/>
  <c r="D19" i="4"/>
  <c r="C41" i="5" s="1"/>
  <c r="D16" i="4"/>
  <c r="C38" i="5" s="1"/>
  <c r="D10" i="6"/>
  <c r="C96" i="5" s="1"/>
  <c r="D45" i="4"/>
  <c r="C67" i="5" s="1"/>
  <c r="C102" i="5" l="1"/>
  <c r="D17" i="6"/>
  <c r="C103" i="5" s="1"/>
  <c r="C190" i="5"/>
  <c r="H14" i="8"/>
  <c r="D15" i="6" l="1" a="1"/>
  <c r="D15" i="6" s="1"/>
  <c r="C101" i="5" s="1"/>
  <c r="D22" i="6" l="1"/>
  <c r="D4" i="5"/>
  <c r="C4" i="5"/>
  <c r="D55" i="4" s="1"/>
  <c r="B4" i="5"/>
  <c r="C3" i="5"/>
  <c r="D1" i="5"/>
  <c r="D23" i="8"/>
  <c r="C198" i="5" s="1"/>
  <c r="D8" i="8"/>
  <c r="C184" i="5" s="1"/>
  <c r="D7" i="8"/>
  <c r="C183" i="5" s="1"/>
  <c r="H6" i="8"/>
  <c r="A6" i="8"/>
  <c r="C156" i="5"/>
  <c r="C155" i="5"/>
  <c r="H18" i="7"/>
  <c r="H11" i="7"/>
  <c r="D10" i="7"/>
  <c r="C144" i="5" s="1"/>
  <c r="H9" i="7"/>
  <c r="D47" i="6"/>
  <c r="C133" i="5" s="1"/>
  <c r="A43" i="6"/>
  <c r="A47" i="6" s="1"/>
  <c r="A42" i="6"/>
  <c r="A46" i="6" s="1"/>
  <c r="A40" i="6"/>
  <c r="A44" i="6" s="1"/>
  <c r="D39" i="6"/>
  <c r="C125" i="5" s="1"/>
  <c r="D35" i="6"/>
  <c r="C121" i="5" s="1"/>
  <c r="I27" i="6" a="1"/>
  <c r="I27" i="6" s="1"/>
  <c r="I26" i="6" a="1"/>
  <c r="I26" i="6" s="1"/>
  <c r="D68" i="4"/>
  <c r="C86" i="5" s="1"/>
  <c r="D60" i="4"/>
  <c r="C80" i="5" s="1"/>
  <c r="D58" i="4"/>
  <c r="C78" i="5" s="1"/>
  <c r="D53" i="4"/>
  <c r="C75" i="5" s="1"/>
  <c r="J40" i="4"/>
  <c r="D13" i="4"/>
  <c r="C35" i="5" s="1"/>
  <c r="D8" i="4"/>
  <c r="C30" i="5" s="1"/>
  <c r="D17" i="2"/>
  <c r="C15" i="5" s="1"/>
  <c r="H16" i="2"/>
  <c r="D14" i="2"/>
  <c r="C12" i="5" s="1"/>
  <c r="D31" i="7" l="1"/>
  <c r="C165" i="5" s="1"/>
  <c r="C108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<sst xmlns="http://schemas.openxmlformats.org/spreadsheetml/2006/main" count="811" uniqueCount="486">
  <si>
    <t>Code</t>
  </si>
  <si>
    <t>Nom variable / indicateur</t>
  </si>
  <si>
    <t>unité</t>
  </si>
  <si>
    <t>Description</t>
  </si>
  <si>
    <t xml:space="preserve">Estimation du nombre d’installations ANC sur le territoire du SPANC </t>
  </si>
  <si>
    <t>Installations domestiques ou assimilées, contrôlées au moins une fois</t>
  </si>
  <si>
    <t>%</t>
  </si>
  <si>
    <t>VANC100</t>
  </si>
  <si>
    <t>Année de création du service </t>
  </si>
  <si>
    <t>Si transfert récent, date de création du SPANC de la commune centre ou syndicat ancien</t>
  </si>
  <si>
    <t>VANC200</t>
  </si>
  <si>
    <t>Superficie du territoire de la collectivité</t>
  </si>
  <si>
    <t>Densité des installations ANC</t>
  </si>
  <si>
    <t>VANC300</t>
  </si>
  <si>
    <t>Existence de zones à enjeux</t>
  </si>
  <si>
    <t>O/N</t>
  </si>
  <si>
    <t>VANC301</t>
  </si>
  <si>
    <t>Taux d’installations en zone à enjeux</t>
  </si>
  <si>
    <t>Unité</t>
  </si>
  <si>
    <t>VC100</t>
  </si>
  <si>
    <t>Nb</t>
  </si>
  <si>
    <t>VC101</t>
  </si>
  <si>
    <t>VC200</t>
  </si>
  <si>
    <t>VC201</t>
  </si>
  <si>
    <t>VC202</t>
  </si>
  <si>
    <t>VC304</t>
  </si>
  <si>
    <t>VC305</t>
  </si>
  <si>
    <t>VC306</t>
  </si>
  <si>
    <t>Existence de périodicités spécifiques</t>
  </si>
  <si>
    <t>VC602</t>
  </si>
  <si>
    <t>VC603</t>
  </si>
  <si>
    <t>Part des installations &gt; 20EH dans le parc</t>
  </si>
  <si>
    <t>Part des installations avec infiltration dans le parc</t>
  </si>
  <si>
    <t>VC700</t>
  </si>
  <si>
    <t>VC701</t>
  </si>
  <si>
    <t>VC700/VC100</t>
  </si>
  <si>
    <t>VUS101</t>
  </si>
  <si>
    <t>Durée de prévenance de la visite déclarée (engagement)</t>
  </si>
  <si>
    <t>VUS102</t>
  </si>
  <si>
    <t>Taux de respect du délai de prévenance</t>
  </si>
  <si>
    <t>VUS103</t>
  </si>
  <si>
    <t>VUS104</t>
  </si>
  <si>
    <t>Nombre de rapports envoyés dans les délais</t>
  </si>
  <si>
    <t>Taux de respect du délai d’envoi du rapport</t>
  </si>
  <si>
    <t>VUS105</t>
  </si>
  <si>
    <t>VUS106</t>
  </si>
  <si>
    <t>Plages horaires proposées pour effectuer le contrôle </t>
  </si>
  <si>
    <t>QCM</t>
  </si>
  <si>
    <t>VUS107</t>
  </si>
  <si>
    <t>Indice relation à l’usager à l’occasion du contrôle</t>
  </si>
  <si>
    <t>VUS201</t>
  </si>
  <si>
    <t>O : 10 points</t>
  </si>
  <si>
    <t>VUS202</t>
  </si>
  <si>
    <t>Existence de plaquettes d’information à l’attention des usagers</t>
  </si>
  <si>
    <t>VUS203</t>
  </si>
  <si>
    <t>VUS204</t>
  </si>
  <si>
    <t>Accueil physique </t>
  </si>
  <si>
    <t>VUS205</t>
  </si>
  <si>
    <t>VUS300</t>
  </si>
  <si>
    <t>Taux de réclamation</t>
  </si>
  <si>
    <t>Missions facultatives</t>
  </si>
  <si>
    <t>VOS100</t>
  </si>
  <si>
    <t>VOS101</t>
  </si>
  <si>
    <t>VOS102</t>
  </si>
  <si>
    <t>VOS103</t>
  </si>
  <si>
    <t>VOS104</t>
  </si>
  <si>
    <t>VOS105</t>
  </si>
  <si>
    <t>VOS106</t>
  </si>
  <si>
    <t>VOS300</t>
  </si>
  <si>
    <t>VOS301</t>
  </si>
  <si>
    <t>VOS302</t>
  </si>
  <si>
    <t>Nb / ETP / an</t>
  </si>
  <si>
    <t>VOS400</t>
  </si>
  <si>
    <t>H/contrôle</t>
  </si>
  <si>
    <t>VOS401</t>
  </si>
  <si>
    <t>VOS402</t>
  </si>
  <si>
    <t>(si connu)</t>
  </si>
  <si>
    <t>VOS403</t>
  </si>
  <si>
    <t>VOS500</t>
  </si>
  <si>
    <t>Km</t>
  </si>
  <si>
    <t>POS6</t>
  </si>
  <si>
    <t>Indice de gestion des données</t>
  </si>
  <si>
    <t>Pts</t>
  </si>
  <si>
    <t>1pt par oui sur VOS601 à 603</t>
  </si>
  <si>
    <t>VOS601</t>
  </si>
  <si>
    <t>Existence d’un logiciel de gestion des données</t>
  </si>
  <si>
    <t>VOS602</t>
  </si>
  <si>
    <t>Lien avec logiciel de cartographie</t>
  </si>
  <si>
    <t>VOS603</t>
  </si>
  <si>
    <t>Tablettes portatives ou smartphone</t>
  </si>
  <si>
    <t>Aspects financiers</t>
  </si>
  <si>
    <t>Tarif TTC du contrôle de bon fonctionnement</t>
  </si>
  <si>
    <t>€</t>
  </si>
  <si>
    <t>Tarif TTC de l’examen préalable de la conception</t>
  </si>
  <si>
    <t>Tarif TTC de vérification de l'exécution des travaux</t>
  </si>
  <si>
    <t>Montant des recettes provenant des contrôles</t>
  </si>
  <si>
    <t>k€</t>
  </si>
  <si>
    <t>Autres recettes</t>
  </si>
  <si>
    <t>Subventions AE, dépt, …</t>
  </si>
  <si>
    <t>Régie de recettes</t>
  </si>
  <si>
    <t>Valeur</t>
  </si>
  <si>
    <t>Valeur/réponse</t>
  </si>
  <si>
    <t>Test logique</t>
  </si>
  <si>
    <t>Commentaires collectivité</t>
  </si>
  <si>
    <t>Nombre d’installations concernées par les zones à enjeux</t>
  </si>
  <si>
    <t>à masquer</t>
  </si>
  <si>
    <t>Périodicité des contrôles de bon fonctionnement</t>
  </si>
  <si>
    <t>Nb / ETP</t>
  </si>
  <si>
    <t>Contexte</t>
  </si>
  <si>
    <t>Service aux usagers</t>
  </si>
  <si>
    <t>Organisation du service</t>
  </si>
  <si>
    <t>colonne à masquer</t>
  </si>
  <si>
    <t>Missions obligatoires</t>
  </si>
  <si>
    <t>Test Logique</t>
  </si>
  <si>
    <t>ETP du service</t>
  </si>
  <si>
    <t>Déroulement des contrôles</t>
  </si>
  <si>
    <t>Nombre de contrôles neufs sur année N</t>
  </si>
  <si>
    <t xml:space="preserve">Indice du caractère proactif du SPANC sur le suivi des obligations de travaux </t>
  </si>
  <si>
    <t>Accueil téléphonique</t>
  </si>
  <si>
    <t>/ 65 points</t>
  </si>
  <si>
    <t>Nombre d'ETP total</t>
  </si>
  <si>
    <t>Nombre d’installations par ETP</t>
  </si>
  <si>
    <t>Disponibilité du règlement de service sur le site internet</t>
  </si>
  <si>
    <t xml:space="preserve">Nombre de contrôles par ETP </t>
  </si>
  <si>
    <t>Obligatoire/optionnel</t>
  </si>
  <si>
    <t>Obligatoire</t>
  </si>
  <si>
    <t>Optionnel</t>
  </si>
  <si>
    <t>Si oui, à expliciter en commentaire</t>
  </si>
  <si>
    <t>VC702</t>
  </si>
  <si>
    <t>- Montant de la pénalité</t>
  </si>
  <si>
    <t>Nombre d’installations avec infiltration</t>
  </si>
  <si>
    <t>VUS400</t>
  </si>
  <si>
    <t>VUS401</t>
  </si>
  <si>
    <t>VUS400/DC306</t>
  </si>
  <si>
    <t>VUS500</t>
  </si>
  <si>
    <t>VUS501</t>
  </si>
  <si>
    <t>VUS500/DC306</t>
  </si>
  <si>
    <t>VUS600</t>
  </si>
  <si>
    <t>VUS601</t>
  </si>
  <si>
    <t>VUS601/DC306</t>
  </si>
  <si>
    <t>VOS110</t>
  </si>
  <si>
    <t>VOS100/(VC100+VC200)</t>
  </si>
  <si>
    <t>VBS1</t>
  </si>
  <si>
    <t>VBS2</t>
  </si>
  <si>
    <t>VBS3</t>
  </si>
  <si>
    <t>VBST</t>
  </si>
  <si>
    <t>VBS4</t>
  </si>
  <si>
    <t>Ex : contrevisite ou contrôle anticipé (3 points)</t>
  </si>
  <si>
    <t>(1 point)</t>
  </si>
  <si>
    <t>Sur installations supérieures à 20 EH</t>
  </si>
  <si>
    <t>VOS410</t>
  </si>
  <si>
    <t>Estimation du temps moyen pour un contrôle de bon fonctionnement hors temps de trajet</t>
  </si>
  <si>
    <t>Montant total des factures émises dans l'année N-1</t>
  </si>
  <si>
    <t>Automatique</t>
  </si>
  <si>
    <t>VBS5</t>
  </si>
  <si>
    <t>Taux d'impayés au 31/12/N sur les facture d'assainissement émises en N-1</t>
  </si>
  <si>
    <t>Montant des dépenses d'exploitation</t>
  </si>
  <si>
    <t>Montant des recettes d'exploitation</t>
  </si>
  <si>
    <t>Code collectivité</t>
  </si>
  <si>
    <t>Obligatoire/
optionnel</t>
  </si>
  <si>
    <t>4-5 jrs/sem (20pts), moins d’une journée (5 points) ; entre les 2 : 10 pts ; pas d'accueil physique (0 pts)</t>
  </si>
  <si>
    <t>Total des points des variables VUS 201 à 205</t>
  </si>
  <si>
    <t>VUS300/DC306</t>
  </si>
  <si>
    <t>/1000 installations</t>
  </si>
  <si>
    <t>VUS502</t>
  </si>
  <si>
    <t>mixte</t>
  </si>
  <si>
    <t>en interne</t>
  </si>
  <si>
    <t>via prestation</t>
  </si>
  <si>
    <t>VUS602</t>
  </si>
  <si>
    <t>Annualisation de la redevance forfaitaire du contrôle de bon fonctionnement</t>
  </si>
  <si>
    <t>DCF196</t>
  </si>
  <si>
    <t>VBR1</t>
  </si>
  <si>
    <t>€/installations</t>
  </si>
  <si>
    <t>VBR2</t>
  </si>
  <si>
    <t>€/contrôles</t>
  </si>
  <si>
    <t>VBS1*1000/DC306</t>
  </si>
  <si>
    <t>VBS3/VBS4</t>
  </si>
  <si>
    <t>€/H</t>
  </si>
  <si>
    <t>DC196/VOS410</t>
  </si>
  <si>
    <t>ETP</t>
  </si>
  <si>
    <t xml:space="preserve">VC100+VC200
</t>
  </si>
  <si>
    <t>Etat des lieux des diagnostics initiaux</t>
  </si>
  <si>
    <t>Km²</t>
  </si>
  <si>
    <t>Inst/km²</t>
  </si>
  <si>
    <t>Estimation du nombre de km parcourus par agent contrôleur par mois</t>
  </si>
  <si>
    <t>Coût du contrôle rapporté au temps de contrôle</t>
  </si>
  <si>
    <t>VUS102/(VC100-VC101)</t>
  </si>
  <si>
    <t>Installations réhabilitées mise en service sur l'année N</t>
  </si>
  <si>
    <t>Nombre d'installations déconnectées</t>
  </si>
  <si>
    <t>Respect du délai fixé par la collectivité au règlement de service</t>
  </si>
  <si>
    <t>Marché ou DSP</t>
  </si>
  <si>
    <r>
      <rPr>
        <b/>
        <sz val="11"/>
        <rFont val="Calibri"/>
        <family val="2"/>
        <scheme val="minor"/>
      </rPr>
      <t xml:space="preserve">Proportion des </t>
    </r>
    <r>
      <rPr>
        <b/>
        <sz val="11"/>
        <color theme="1"/>
        <rFont val="Calibri"/>
        <family val="2"/>
        <scheme val="minor"/>
      </rPr>
      <t>contrôles neufs sur l’année</t>
    </r>
  </si>
  <si>
    <r>
      <rPr>
        <sz val="11"/>
        <rFont val="Calibri"/>
        <family val="2"/>
        <scheme val="minor"/>
      </rPr>
      <t>Nombre d'E</t>
    </r>
    <r>
      <rPr>
        <sz val="11"/>
        <color theme="1"/>
        <rFont val="Calibri"/>
        <family val="2"/>
        <scheme val="minor"/>
      </rPr>
      <t>xamen du projet de création ou de réhabilitation du dispositif d'ANC</t>
    </r>
  </si>
  <si>
    <r>
      <t>Nombre d’immeubles contrôl</t>
    </r>
    <r>
      <rPr>
        <b/>
        <sz val="11"/>
        <rFont val="Calibri"/>
        <family val="2"/>
        <scheme val="minor"/>
      </rPr>
      <t xml:space="preserve">és sur l'année N </t>
    </r>
    <r>
      <rPr>
        <b/>
        <sz val="11"/>
        <color theme="1"/>
        <rFont val="Calibri"/>
        <family val="2"/>
        <scheme val="minor"/>
      </rPr>
      <t>avec absence totale d'installation</t>
    </r>
  </si>
  <si>
    <r>
      <t xml:space="preserve">Immeuble sans ouvrage de prétraitement ou de traitement </t>
    </r>
    <r>
      <rPr>
        <sz val="11"/>
        <rFont val="Calibri"/>
        <family val="2"/>
        <scheme val="minor"/>
      </rPr>
      <t>contrôlé durant l'année N.</t>
    </r>
    <r>
      <rPr>
        <sz val="11"/>
        <color theme="1"/>
        <rFont val="Calibri"/>
        <family val="2"/>
        <scheme val="minor"/>
      </rPr>
      <t xml:space="preserve"> Un immeuble avec infiltration directe (puisard, etc.) est considéré comme sans installation</t>
    </r>
  </si>
  <si>
    <t>Taux de refus sur les contrôles de bon fonctionnement</t>
  </si>
  <si>
    <t>Nombre de contrôles de bon fonctionnement (hors vente) qui respectent le délai de prévenance</t>
  </si>
  <si>
    <r>
      <rPr>
        <b/>
        <sz val="11"/>
        <rFont val="Calibri"/>
        <family val="2"/>
        <scheme val="minor"/>
      </rPr>
      <t>Délai de transmission au propriétaire d</t>
    </r>
    <r>
      <rPr>
        <b/>
        <sz val="11"/>
        <color theme="1"/>
        <rFont val="Calibri"/>
        <family val="2"/>
        <scheme val="minor"/>
      </rPr>
      <t>u rapport de visite (engagement)</t>
    </r>
  </si>
  <si>
    <t>VUS101 compris entre 7 et 15 jours ouvrés : 5 points
VUS101 au-dessus de 15 jours ouvrés : 10 points</t>
  </si>
  <si>
    <t>Indice « relation à l’usager hors mise en œuvre des contrôles »</t>
  </si>
  <si>
    <t>Contrôles réalisés entièrement ou en partie par des agents de la régie</t>
  </si>
  <si>
    <t>Externalisation partielle ou totale des contrôles via un ou des marchés publics de prestation</t>
  </si>
  <si>
    <t>Externalisation partielle ou totale des contrôles via un contrat de déléguation de service public</t>
  </si>
  <si>
    <t>Nombre de contrôles effectués par un prestataire ou un délégataire sur l’année N</t>
  </si>
  <si>
    <t>Taux de contrôles réalisés par un prestataire ou un délégataire sur l'année N</t>
  </si>
  <si>
    <t>Montant des dépenses d'exploitation du budget ANC (ou partie ANC du budget assainissement)</t>
  </si>
  <si>
    <t>Montant total des recettes d'exploitation du budget ANC (ou partie ANC du budget assainissement)</t>
  </si>
  <si>
    <t>Installations domestiques et assimilées, contrôlées ou encore non contrôlées</t>
  </si>
  <si>
    <t>Année</t>
  </si>
  <si>
    <t>VCtot</t>
  </si>
  <si>
    <t>Avec tolérance 6 mois de retard</t>
  </si>
  <si>
    <t>Installations nouvelles mises en service sur l'année N</t>
  </si>
  <si>
    <t>Zone à enjeu sanitaire ou environnemental</t>
  </si>
  <si>
    <t>Activité de contrôle</t>
  </si>
  <si>
    <t>Proportion de contrôles liés aux ventes (% des CBF)</t>
  </si>
  <si>
    <t>DC.306/VANC200
Nombre d'installations / Superficie du territoire de la collectivité</t>
  </si>
  <si>
    <r>
      <t xml:space="preserve">Installations non conformes faisant l'objet d'une obligation de travaux au sens de l'arrêté du 27 mai 2012. 
</t>
    </r>
    <r>
      <rPr>
        <i/>
        <sz val="11"/>
        <color theme="1"/>
        <rFont val="Calibri"/>
        <family val="2"/>
        <scheme val="minor"/>
      </rPr>
      <t>N'inclut pas les cas avec absence totale d'installation</t>
    </r>
    <r>
      <rPr>
        <sz val="11"/>
        <color theme="1"/>
        <rFont val="Calibri"/>
        <family val="2"/>
        <scheme val="minor"/>
      </rPr>
      <t>.</t>
    </r>
  </si>
  <si>
    <r>
      <rPr>
        <sz val="11"/>
        <rFont val="Calibri"/>
        <family val="2"/>
        <scheme val="minor"/>
      </rPr>
      <t>Nombre de con</t>
    </r>
    <r>
      <rPr>
        <sz val="11"/>
        <color theme="1"/>
        <rFont val="Calibri"/>
        <family val="2"/>
        <scheme val="minor"/>
      </rPr>
      <t>trôles de l'exécution de travaux de création ou de réhabilitation du dispositif d'ANC</t>
    </r>
  </si>
  <si>
    <t>Nombre d’installations contrôlées sur l'année N avec obligation de travaux sous 4 ans</t>
  </si>
  <si>
    <t>Nombre d'immeubles contrôlés sur l'année N avec obligation de travaux en cas de vente sous un an</t>
  </si>
  <si>
    <t>Proportion d'immeubles contrôlés avec absence totale d'installation</t>
  </si>
  <si>
    <t>Proportion d'immeubles contrôlés avec obligation de travaux sous 4 ans</t>
  </si>
  <si>
    <t>Proportion d'immeubles contrôlés avec obligation de travaux en cas de vente</t>
  </si>
  <si>
    <t>oui</t>
  </si>
  <si>
    <t>non</t>
  </si>
  <si>
    <t xml:space="preserve">Suivi des ANC avec obligation travaux délai 4 ans : mise en œuvre d'une pénalité financière en cas de non réalisation des travaux au terme des 4 ans </t>
  </si>
  <si>
    <t>1&lt;VP.323&lt;10
Périodicité majoritaire sur le territoire lorsqu'il existe une modulation
A priori, installations traditionnelles de moins de 20 EH</t>
  </si>
  <si>
    <t>Taux d'installations non contrôlées dans le délai de périodicité (%CBF)</t>
  </si>
  <si>
    <t>Taux d'installations non contrôlées dans le délai de périodicité (%parc)</t>
  </si>
  <si>
    <t xml:space="preserve">Nombre d'installations n'ayant pas été contrôlées dans le délai de périodicité fixé par le service sur l'année N </t>
  </si>
  <si>
    <t>Nombre de contrôles total sur l'année N</t>
  </si>
  <si>
    <t>Nombre (total) d’installations supérieures à 20EH</t>
  </si>
  <si>
    <t>Parc total</t>
  </si>
  <si>
    <t>Sur la totalité du parc, installations évacuant les eaux usées traitées par infiltration. Toutes installations confondues.</t>
  </si>
  <si>
    <t>Sur la totalité du parc, installations évacuant les eaux usées traitées par déversement au milieu hydraulique superficiel. Toutes installations confondues.</t>
  </si>
  <si>
    <t>Part des installations avec évacuation vers le milieu hydraulique superficiel dans le parc</t>
  </si>
  <si>
    <t>Connaissance du parc</t>
  </si>
  <si>
    <t>Connaissance du parc en termes d'évacuation des EU traitées</t>
  </si>
  <si>
    <t>Contrôles de bon fonctionnement</t>
  </si>
  <si>
    <t>Contrôles du neuf</t>
  </si>
  <si>
    <t>Résultats des contrôles</t>
  </si>
  <si>
    <t>Périodicité</t>
  </si>
  <si>
    <t>Installations supérieures à 20EH</t>
  </si>
  <si>
    <t>Refus de contrôle</t>
  </si>
  <si>
    <t>VUS104/(VCtot)</t>
  </si>
  <si>
    <t>Nombre de réclamations écrites reçues sur l'année N (total)</t>
  </si>
  <si>
    <t>Réclamations écrites uniquement (mails et courriers)</t>
  </si>
  <si>
    <t>VOS001</t>
  </si>
  <si>
    <t>VOS002</t>
  </si>
  <si>
    <t>VOS003</t>
  </si>
  <si>
    <t>sans objet</t>
  </si>
  <si>
    <t>VOS420</t>
  </si>
  <si>
    <t>Organisation des contrôles</t>
  </si>
  <si>
    <t>Tarification</t>
  </si>
  <si>
    <t>collect</t>
  </si>
  <si>
    <t>DC306</t>
  </si>
  <si>
    <t>VP167</t>
  </si>
  <si>
    <t>DC306.1</t>
  </si>
  <si>
    <t>DC306.2</t>
  </si>
  <si>
    <t>DC306.3</t>
  </si>
  <si>
    <t>Construction neuves ou immeubles existants nouvellement équipés (hors réhabilitation d'installation d'ANC)</t>
  </si>
  <si>
    <t>VANC301/DC306</t>
  </si>
  <si>
    <t>(VP167-DC306.3) / DC306
(Nombre d’installations contrôlées au moins une fois - installations déconnectées) / Nombre total d’installations</t>
  </si>
  <si>
    <t>DC320</t>
  </si>
  <si>
    <t>DC321</t>
  </si>
  <si>
    <t>DC322</t>
  </si>
  <si>
    <t>VP323</t>
  </si>
  <si>
    <t>VP324</t>
  </si>
  <si>
    <t>VC501</t>
  </si>
  <si>
    <t>DC308</t>
  </si>
  <si>
    <t>VC601</t>
  </si>
  <si>
    <t>DC316</t>
  </si>
  <si>
    <t>DC317</t>
  </si>
  <si>
    <r>
      <t>Nombre de contrôles de bon fonctionnement (dont diagnostic</t>
    </r>
    <r>
      <rPr>
        <b/>
        <sz val="11"/>
        <rFont val="Calibri"/>
        <family val="2"/>
        <scheme val="minor"/>
      </rPr>
      <t xml:space="preserve"> initial</t>
    </r>
    <r>
      <rPr>
        <b/>
        <sz val="11"/>
        <color theme="1"/>
        <rFont val="Calibri"/>
        <family val="2"/>
        <scheme val="minor"/>
      </rPr>
      <t>) sur année N</t>
    </r>
  </si>
  <si>
    <t xml:space="preserve"> - nombre de contrôles de réalisation</t>
  </si>
  <si>
    <t>- Suivi : récupération du cahier de vie annuellement/mise à disposition du cahier de vie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</si>
  <si>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Nombre de contrôles effectués sur l'année N</t>
    </r>
  </si>
  <si>
    <t>Nombre d’installations avec évacuation vers milieu hydraulique superficiel</t>
  </si>
  <si>
    <r>
      <t>-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Pénalité financière en cas de refus de contrôle</t>
    </r>
  </si>
  <si>
    <t>- Collaboration avec les services de la police de l'eau</t>
  </si>
  <si>
    <t>- Dont ventes</t>
  </si>
  <si>
    <r>
      <t xml:space="preserve"> </t>
    </r>
    <r>
      <rPr>
        <b/>
        <sz val="10"/>
        <color theme="1"/>
        <rFont val="Titillium"/>
        <family val="3"/>
      </rPr>
      <t>- </t>
    </r>
    <r>
      <rPr>
        <b/>
        <sz val="11"/>
        <color theme="1"/>
        <rFont val="Calibri"/>
        <family val="2"/>
        <scheme val="minor"/>
      </rPr>
      <t>nombre d'examens de conception</t>
    </r>
  </si>
  <si>
    <t>Suivi des ANC avec obligation de travaux (délai 4 ans) : existence procédure de communication usagers</t>
  </si>
  <si>
    <t>Suivi des ANC avec obligation de travaux (délai 4 ans) : existence procédure de contrôle spécifique</t>
  </si>
  <si>
    <t>Années</t>
  </si>
  <si>
    <t>VC101/VC100
Nombre de contrôles de bon fonctionnement liés aux ventes / nombre total de contrôles de bon fonctionnement</t>
  </si>
  <si>
    <t>VC100/DC306
Nombre de contrôles de bon fonctionnement / nombre total d’installations</t>
  </si>
  <si>
    <t>VC200/(VC100+VC200): Nombre de contrôle neuf sur l'année N/(nombre de CBF+nombre de contrôle neuf)</t>
  </si>
  <si>
    <t>VC501/DC306</t>
  </si>
  <si>
    <t>VC501/VC.100
Permet de voir ce que le retard représente par rapport au nombre de contrôles réalisés par an</t>
  </si>
  <si>
    <t>DC308/DC306</t>
  </si>
  <si>
    <t>DC316/DC306</t>
  </si>
  <si>
    <t>DC317/DC306</t>
  </si>
  <si>
    <t>IPUS1</t>
  </si>
  <si>
    <t>IPUS2</t>
  </si>
  <si>
    <t>IPUS3</t>
  </si>
  <si>
    <t>IPUS4</t>
  </si>
  <si>
    <t>IPUS5</t>
  </si>
  <si>
    <t>VP173</t>
  </si>
  <si>
    <t>VP172</t>
  </si>
  <si>
    <t>VP174</t>
  </si>
  <si>
    <r>
      <rPr>
        <b/>
        <sz val="11"/>
        <rFont val="Calibri"/>
        <family val="2"/>
        <scheme val="minor"/>
      </rPr>
      <t>Procédure d'envoi systématique d'un</t>
    </r>
    <r>
      <rPr>
        <b/>
        <sz val="11"/>
        <color theme="1"/>
        <rFont val="Calibri"/>
        <family val="2"/>
        <scheme val="minor"/>
      </rPr>
      <t xml:space="preserve"> courrier explicatif en amont du contrôle, mention du règlement de service et tarifs</t>
    </r>
  </si>
  <si>
    <t>Consultation et information annuelle CCSPL</t>
  </si>
  <si>
    <t>Nombre d'installations réhabilitées par le service sur l'année N (installations réceptionnées par le propriétaire)</t>
  </si>
  <si>
    <t>Taux d'installations réhabilitées par le service sur l'année N</t>
  </si>
  <si>
    <t>Nombre d'installations entretenues par le service sur l'année N</t>
  </si>
  <si>
    <t>Taux d'installations entretenues par le service sur l'année N</t>
  </si>
  <si>
    <t>Nombre d'installation vidangées par le service sur l'année N</t>
  </si>
  <si>
    <t>Taux d'installation vidangées par le service</t>
  </si>
  <si>
    <t>Compétence assurée en interne? Par prestation? Mixte?</t>
  </si>
  <si>
    <t>Compétence assurée en interne ? Par prestation ? Mixte ?</t>
  </si>
  <si>
    <t>Jrs</t>
  </si>
  <si>
    <t>Nbre</t>
  </si>
  <si>
    <t>Taux</t>
  </si>
  <si>
    <t>Jrs/semaine</t>
  </si>
  <si>
    <t>IPUS2 &gt; 0,8 = 10 points</t>
  </si>
  <si>
    <t>IPUS1 &gt; 0,8 = 10 points</t>
  </si>
  <si>
    <t>Pour les contrôles de bon fonctionnement ;
engagement figurant dans le règlement de service généralement en jours ouvrés</t>
  </si>
  <si>
    <t>Délai inscrit dans le règlement de service le cas échéant ; 
en nombre de jours ouvrés à compter de la réalisation du contrôle.</t>
  </si>
  <si>
    <t>Journée (0 pts) / demi-journée (10pts) / plage horaire limitée (2 à 3 heures maximum) (20pts)/ Créneau heure fixe (30 pts)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</si>
  <si>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contrôles de bon fonctionnement périodique</t>
    </r>
  </si>
  <si>
    <r>
      <t>-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Dont contrôles de bon fonctionnement vente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</si>
  <si>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contrôles de bon fonctionnement diagnostic initial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</si>
  <si>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Conception</t>
    </r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</si>
  <si>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Réalisation</t>
    </r>
  </si>
  <si>
    <t>La collectivité a-t-elle un ou des agent(s) dédié(s) au suivi des contrats de délégation ou de prestation en ANC chargés de contrôler les éventuels délégataires                                 ou prestataires ?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</si>
  <si>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Dont ETP techniques</t>
    </r>
  </si>
  <si>
    <t>- Dont ETP administratifs</t>
  </si>
  <si>
    <t>- Dont visite sur place</t>
  </si>
  <si>
    <t>- Dont édition du rapport</t>
  </si>
  <si>
    <t>Estimation du temps moyen pour un contrôle de bon fonctionnement, y compris temps de trajet</t>
  </si>
  <si>
    <t xml:space="preserve">Nombre d'équivalents temps plein affectés au service : collectivité et délégataire </t>
  </si>
  <si>
    <t>DC306/VOS300</t>
  </si>
  <si>
    <t>Obligatoire/ optionnel</t>
  </si>
  <si>
    <t>Montant des dépenses d'exploitation rapporté au nombre d'installations</t>
  </si>
  <si>
    <t>DC196</t>
  </si>
  <si>
    <t>Montant des impayés au 31/12/N sur les factures d'assainissement émises dans l'année N-1</t>
  </si>
  <si>
    <t>Montant des abandons de créances prononcés durant l'année</t>
  </si>
  <si>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: redevance du contrôle de bon fonctionnement facturée dans sa totalité à l'issue du contrôle 
</t>
    </r>
    <r>
      <rPr>
        <b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: annualisation du montant de la redevance</t>
    </r>
  </si>
  <si>
    <r>
      <t xml:space="preserve">Nombre total d'installations contrôlées </t>
    </r>
    <r>
      <rPr>
        <b/>
        <sz val="11"/>
        <rFont val="Calibri"/>
        <family val="2"/>
        <scheme val="minor"/>
      </rPr>
      <t>au moins une fois</t>
    </r>
    <r>
      <rPr>
        <b/>
        <sz val="11"/>
        <color theme="1"/>
        <rFont val="Calibri"/>
        <family val="2"/>
        <scheme val="minor"/>
      </rPr>
      <t xml:space="preserve"> depuis la création du service</t>
    </r>
  </si>
  <si>
    <t>IPANC1</t>
  </si>
  <si>
    <t>IPANC2</t>
  </si>
  <si>
    <t>IPANC2.1</t>
  </si>
  <si>
    <t>IPANC3</t>
  </si>
  <si>
    <t>ICANC12</t>
  </si>
  <si>
    <t>ICANC13</t>
  </si>
  <si>
    <t>ICANC14</t>
  </si>
  <si>
    <t>IPANC10</t>
  </si>
  <si>
    <t>IPANC10.1</t>
  </si>
  <si>
    <t>ICANC3</t>
  </si>
  <si>
    <t>ICANC4</t>
  </si>
  <si>
    <t>ICANC5</t>
  </si>
  <si>
    <t>IPANC12</t>
  </si>
  <si>
    <t>IPANC11</t>
  </si>
  <si>
    <t>ICANC2</t>
  </si>
  <si>
    <t>ICANC1</t>
  </si>
  <si>
    <t>IPANC9</t>
  </si>
  <si>
    <t>IPOS100</t>
  </si>
  <si>
    <t>IPOS101</t>
  </si>
  <si>
    <t>DC197</t>
  </si>
  <si>
    <t>DC326</t>
  </si>
  <si>
    <t>DC325</t>
  </si>
  <si>
    <t>DC196.1</t>
  </si>
  <si>
    <t>Service qui propose d'assurer la vidange des installations d'ANC</t>
  </si>
  <si>
    <t>Service qui propose d’assurer à la demande du propriétaire la réalisation et les travaux de réhabilitation des installations ANC</t>
  </si>
  <si>
    <t>Service qui propose d’assurer à la demande du propriétaire l'entretien des installations d'ANC</t>
  </si>
  <si>
    <r>
      <t xml:space="preserve">VUS105 = oui </t>
    </r>
    <r>
      <rPr>
        <sz val="11"/>
        <color theme="1"/>
        <rFont val="Wingdings"/>
        <charset val="2"/>
      </rPr>
      <t>à</t>
    </r>
    <r>
      <rPr>
        <sz val="11"/>
        <color theme="1"/>
        <rFont val="Calibri"/>
        <family val="2"/>
        <scheme val="minor"/>
      </rPr>
      <t xml:space="preserve"> 15 points</t>
    </r>
  </si>
  <si>
    <r>
      <t xml:space="preserve">VUS107 = oui </t>
    </r>
    <r>
      <rPr>
        <sz val="11"/>
        <color theme="1"/>
        <rFont val="Wingdings"/>
        <charset val="2"/>
      </rPr>
      <t>à</t>
    </r>
    <r>
      <rPr>
        <sz val="11"/>
        <color theme="1"/>
        <rFont val="Calibri"/>
        <family val="2"/>
        <scheme val="minor"/>
      </rPr>
      <t xml:space="preserve"> 15 points</t>
    </r>
  </si>
  <si>
    <t>VUS106 sur 30 points</t>
  </si>
  <si>
    <t>Nombre d'installations mises hors service suite au raccordement de l'immeuble au réseau d'assainissement collectif, depuis l'origine du service (ou à défaut, nombre connu).
Si non connu, laisser vide</t>
  </si>
  <si>
    <t>VOS404</t>
  </si>
  <si>
    <t>- Dont prise de RDV</t>
  </si>
  <si>
    <t>Soit estimation par la collectivité, soit VOS401 + VOS402 + VOS403</t>
  </si>
  <si>
    <t>envoi courrier, contact téléphonique préalable, etc</t>
  </si>
  <si>
    <t>Soit estimation par la collectivité, soit VOS401 + VOS402+VOS403+VOS404</t>
  </si>
  <si>
    <t>VC306b</t>
  </si>
  <si>
    <t>Si oui, la pénalité est-elle majorée (+100% ou davantage par rapport au coût du contrôle)</t>
  </si>
  <si>
    <t>VC307</t>
  </si>
  <si>
    <t>Accompagnement financier des usagers</t>
  </si>
  <si>
    <t>VC308</t>
  </si>
  <si>
    <t>Collaboration avec  les maires pour les installations les plus problématiques</t>
  </si>
  <si>
    <t>Par téléphone, communication via dépliant (2 points)</t>
  </si>
  <si>
    <t>(2 point)</t>
  </si>
  <si>
    <t>aide directe de la collectivité, mais également accompagnement pour « activer » les différentes aides possibles (1 point)</t>
  </si>
  <si>
    <t>Somme indicateurs VC304, VC305, VC306, VC306b, VC307 et VC308</t>
  </si>
  <si>
    <t>VUS108</t>
  </si>
  <si>
    <t>Vidange elle-même et non traitement des matières extraites</t>
  </si>
  <si>
    <t>Calcul ou remplissage : temps moyen de trajet par visite HORS VENTE</t>
  </si>
  <si>
    <t>dont contrôles avec déplacement sur place</t>
  </si>
  <si>
    <t>IPANC2.2</t>
  </si>
  <si>
    <t>Taux de contrôles liés aux ventes (% du parc)</t>
  </si>
  <si>
    <t>Taux de contrôles de bon fonctionnement annuel (% du parc)</t>
  </si>
  <si>
    <t>VC101/DC306
Nombre de contrôles de bon fonctionnement liés aux ventes / nombre total d'installations</t>
  </si>
  <si>
    <t>IP.ANC5.1</t>
  </si>
  <si>
    <t>Répartition des contrôles : CBF liés aux ventes (% total des contrôles)</t>
  </si>
  <si>
    <t>IP.ANC5.2</t>
  </si>
  <si>
    <t>Répartition des contrôles : CBF hors ventes (% total des contrôles)</t>
  </si>
  <si>
    <t>IP.ANC5.3</t>
  </si>
  <si>
    <t>Répartition des contrôles : examens de conception (% total des contrôles)</t>
  </si>
  <si>
    <t>IP.ANC5.4</t>
  </si>
  <si>
    <t>Répartition des contrôles : contrôles de réalisation (% total des contrôles)</t>
  </si>
  <si>
    <t>VC102</t>
  </si>
  <si>
    <t>- Dont CBF hors vente</t>
  </si>
  <si>
    <t>VC100-VC101</t>
  </si>
  <si>
    <t>VC602b</t>
  </si>
  <si>
    <t>VUS108 = oui -&gt; 10 points</t>
  </si>
  <si>
    <t>VUS101pts</t>
  </si>
  <si>
    <t>IPUS1pts</t>
  </si>
  <si>
    <t>IPUS2pts</t>
  </si>
  <si>
    <t>VUS105pts</t>
  </si>
  <si>
    <t>VUS106pts</t>
  </si>
  <si>
    <t>VUS107pts</t>
  </si>
  <si>
    <t>VUS108pts</t>
  </si>
  <si>
    <t>VUS204pts</t>
  </si>
  <si>
    <t>VUS205pts</t>
  </si>
  <si>
    <r>
      <rPr>
        <b/>
        <sz val="11"/>
        <color theme="1"/>
        <rFont val="Calibri"/>
        <family val="2"/>
        <scheme val="minor"/>
      </rPr>
      <t>1 :</t>
    </r>
    <r>
      <rPr>
        <sz val="11"/>
        <color theme="1"/>
        <rFont val="Calibri"/>
        <family val="2"/>
        <scheme val="minor"/>
      </rPr>
      <t xml:space="preserve"> 5 jrs/ sem, toute la journée (15 pts)
</t>
    </r>
    <r>
      <rPr>
        <b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 xml:space="preserve">: 3 à 4 jrs/sem, toute la journée (10pts)
</t>
    </r>
    <r>
      <rPr>
        <b/>
        <sz val="11"/>
        <color theme="1"/>
        <rFont val="Calibri"/>
        <family val="2"/>
        <scheme val="minor"/>
      </rPr>
      <t>3 :</t>
    </r>
    <r>
      <rPr>
        <sz val="11"/>
        <color theme="1"/>
        <rFont val="Calibri"/>
        <family val="2"/>
        <scheme val="minor"/>
      </rPr>
      <t xml:space="preserve"> demi-journées ponctuelles (5 pts)</t>
    </r>
  </si>
  <si>
    <t>VUS201pts</t>
  </si>
  <si>
    <t>VUS202pts</t>
  </si>
  <si>
    <t>VUS203pts</t>
  </si>
  <si>
    <t>Mode de gestion du SPANC et mode de réalisation des contrôles - régie</t>
  </si>
  <si>
    <t>Mode de gestion du SPANC et mode de réalisation des contrôles - MP</t>
  </si>
  <si>
    <t>Mode de gestion du SPANC et mode de réalisation des contrôles - DSP</t>
  </si>
  <si>
    <t>VOS601pts</t>
  </si>
  <si>
    <t>VOS602pts</t>
  </si>
  <si>
    <t>VOS603pts</t>
  </si>
  <si>
    <t>Pour saisie des données directement lors du contrôle</t>
  </si>
  <si>
    <t>VBR3</t>
  </si>
  <si>
    <t>VBR4</t>
  </si>
  <si>
    <t>Montant des recettes d'exploitation rapporté au nombre d'installations</t>
  </si>
  <si>
    <t>Montant des dépenses d'exploitation rapporté au nombre de contrôles</t>
  </si>
  <si>
    <t>Montant des recettes d'exploitation rapporté au nombre de contrôles</t>
  </si>
  <si>
    <t>VBS1*1000/(VCtot)</t>
  </si>
  <si>
    <t>VBS2*1000/DC306</t>
  </si>
  <si>
    <t>VBS2*1000/(VCtot)</t>
  </si>
  <si>
    <t>VC304_pt</t>
  </si>
  <si>
    <t>pts</t>
  </si>
  <si>
    <t>VC305_pt</t>
  </si>
  <si>
    <t>VC306_pt</t>
  </si>
  <si>
    <t>VC306b_pt</t>
  </si>
  <si>
    <t>VC307_pt</t>
  </si>
  <si>
    <t>VC308_pt</t>
  </si>
  <si>
    <t>VOS310</t>
  </si>
  <si>
    <t>Les ETP sont-ils mutualisés avec l'assainissement collectif</t>
  </si>
  <si>
    <t>VBSAC</t>
  </si>
  <si>
    <t>Budget ANC dédié ou commun avec AC ?</t>
  </si>
  <si>
    <t>DCF196base</t>
  </si>
  <si>
    <t>sur le total des contrôles : bon fonctionnement, vente, et neuf</t>
  </si>
  <si>
    <r>
      <t xml:space="preserve">TOTAL </t>
    </r>
    <r>
      <rPr>
        <sz val="11"/>
        <color theme="1"/>
        <rFont val="Calibri"/>
        <family val="2"/>
        <scheme val="minor"/>
      </rPr>
      <t>/ 100pts</t>
    </r>
  </si>
  <si>
    <t>Sigle Collectivité</t>
  </si>
  <si>
    <t>DC196_tot</t>
  </si>
  <si>
    <t>total par collect pr pondérer</t>
  </si>
  <si>
    <t>DC196.1_tot</t>
  </si>
  <si>
    <t>DC325_tot</t>
  </si>
  <si>
    <t>DC326_tot</t>
  </si>
  <si>
    <t>si le montant est équivalent au montant du CBF classique, l'indiquer ici</t>
  </si>
  <si>
    <t>Recouvrement et impayés</t>
  </si>
  <si>
    <t>Section d'exploitation</t>
  </si>
  <si>
    <t>VC100_tps</t>
  </si>
  <si>
    <t>nb CBF uniqt pr collect ayant répondu sur estimation du tps</t>
  </si>
  <si>
    <t>VOS400_tot</t>
  </si>
  <si>
    <t>VOS401_tot</t>
  </si>
  <si>
    <t>VOS402_tot</t>
  </si>
  <si>
    <t>VOS403_tot</t>
  </si>
  <si>
    <t>total tps contrôle hors trajet par collect pr pondérer</t>
  </si>
  <si>
    <t>/10 pts</t>
  </si>
  <si>
    <t xml:space="preserve">Possibilité de contrôles le samedi, ou en horaires décalés (tôt le matin ou fin d'après-midi, entre 12h et 14h, etc.)  </t>
  </si>
  <si>
    <t>VOS000</t>
  </si>
  <si>
    <t>Mode de gestion du SPANC</t>
  </si>
  <si>
    <t>ICANC3.1</t>
  </si>
  <si>
    <t>ICANC3.2</t>
  </si>
  <si>
    <t>Part des installations contrôlées dans l'année parmi les installations &gt;20EH</t>
  </si>
  <si>
    <t>Part des installations &gt;20EH contrôlées dans l'année au sein du parc</t>
  </si>
  <si>
    <t>v25-03</t>
  </si>
  <si>
    <t>Montant TTC de la redevance du contrôle de bon fonctionnement ou de l'annualisation de cette dernière</t>
  </si>
  <si>
    <r>
      <t>-</t>
    </r>
    <r>
      <rPr>
        <b/>
        <sz val="7"/>
        <color theme="1"/>
        <rFont val="Times New Roman"/>
        <family val="1"/>
      </rPr>
      <t> </t>
    </r>
    <r>
      <rPr>
        <b/>
        <sz val="11"/>
        <color theme="1"/>
        <rFont val="Calibri"/>
        <family val="2"/>
        <scheme val="minor"/>
      </rPr>
      <t>Montant TTC spécifique en cas de vente</t>
    </r>
  </si>
  <si>
    <t>Vctot/VOS300</t>
  </si>
  <si>
    <r>
      <t>Nombre de contrôles sur installations nouvelles</t>
    </r>
    <r>
      <rPr>
        <sz val="11"/>
        <rFont val="Calibri"/>
        <family val="2"/>
        <scheme val="minor"/>
      </rPr>
      <t xml:space="preserve"> ou réhabilitées</t>
    </r>
    <r>
      <rPr>
        <sz val="11"/>
        <color theme="1"/>
        <rFont val="Calibri"/>
        <family val="2"/>
        <scheme val="minor"/>
      </rPr>
      <t xml:space="preserve"> : </t>
    </r>
    <r>
      <rPr>
        <b/>
        <sz val="11"/>
        <color theme="1"/>
        <rFont val="Calibri"/>
        <family val="2"/>
        <scheme val="minor"/>
      </rPr>
      <t>conception, réalisation, installations neuves</t>
    </r>
  </si>
  <si>
    <t>Souplesse et possibilité de déplacer un rendez-vous</t>
  </si>
  <si>
    <t>- Temps de transport moyen</t>
  </si>
  <si>
    <t>DC318</t>
  </si>
  <si>
    <t>Nombre d'obstacles au contrôle constatés par le SPANC sur l'année N</t>
  </si>
  <si>
    <t>Obstacles au sens de refus, absences répétées… Tels que définis dans le règlement de service.</t>
  </si>
  <si>
    <t>Sur la totalité du parc</t>
  </si>
  <si>
    <t>DC318/DC306</t>
  </si>
  <si>
    <t>Part des installations constituées de dispositifs soumis à agrément</t>
  </si>
  <si>
    <t>Nombre de dispositifs soumis à agrément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</si>
</sst>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tillium"/>
      <family val="3"/>
    </font>
    <font>
      <sz val="11"/>
      <color rgb="FF0070C0"/>
      <name val="Calibri"/>
      <family val="2"/>
      <scheme val="minor"/>
    </font>
    <font>
      <sz val="11"/>
      <color theme="1"/>
      <name val="Wingdings"/>
      <charset val="2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Titillium"/>
      <family val="3"/>
    </font>
    <font>
      <b/>
      <u/>
      <sz val="22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Titillium"/>
      <family val="3"/>
    </font>
    <font>
      <sz val="10"/>
      <color rgb="FFFF0000"/>
      <name val="Titillium"/>
      <family val="3"/>
    </font>
    <font>
      <b/>
      <sz val="11"/>
      <color rgb="FFFFFFFF"/>
      <name val="Calibri"/>
      <family val="2"/>
      <scheme val="minor"/>
    </font>
    <font>
      <b/>
      <u/>
      <sz val="22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name val="Titillium"/>
      <family val="3"/>
    </font>
    <font>
      <b/>
      <u/>
      <sz val="11"/>
      <color rgb="FFFFFFF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2C95AB"/>
        <bgColor indexed="64"/>
      </patternFill>
    </fill>
    <fill>
      <patternFill patternType="solid">
        <fgColor rgb="FF2D517A"/>
        <bgColor indexed="64"/>
      </patternFill>
    </fill>
    <fill>
      <patternFill patternType="solid">
        <fgColor rgb="FF42699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785AA"/>
        <bgColor indexed="64"/>
      </patternFill>
    </fill>
  </fills>
  <borders count="64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/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999999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0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2" borderId="6" xfId="0" quotePrefix="1" applyFont="1" applyFill="1" applyBorder="1" applyAlignment="1">
      <alignment horizontal="left" vertical="center" wrapText="1"/>
    </xf>
    <xf numFmtId="0" fontId="2" fillId="4" borderId="0" xfId="0" applyFont="1" applyFill="1"/>
    <xf numFmtId="0" fontId="6" fillId="4" borderId="0" xfId="0" applyFont="1" applyFill="1" applyAlignment="1">
      <alignment wrapText="1"/>
    </xf>
    <xf numFmtId="0" fontId="0" fillId="2" borderId="6" xfId="0" applyFill="1" applyBorder="1" applyAlignment="1">
      <alignment horizontal="center" vertical="center" wrapText="1"/>
    </xf>
    <xf numFmtId="0" fontId="0" fillId="2" borderId="41" xfId="0" applyFill="1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0" fillId="2" borderId="31" xfId="0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12" fillId="0" borderId="0" xfId="0" applyFont="1"/>
    <xf numFmtId="0" fontId="0" fillId="2" borderId="5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4" borderId="0" xfId="0" applyFill="1"/>
    <xf numFmtId="0" fontId="4" fillId="2" borderId="29" xfId="0" applyFont="1" applyFill="1" applyBorder="1" applyAlignment="1">
      <alignment vertical="center" wrapText="1"/>
    </xf>
    <xf numFmtId="0" fontId="14" fillId="2" borderId="11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0" fillId="2" borderId="8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48" xfId="0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/>
    </xf>
    <xf numFmtId="0" fontId="0" fillId="2" borderId="37" xfId="0" applyFill="1" applyBorder="1" applyAlignment="1">
      <alignment vertical="center" wrapText="1"/>
    </xf>
    <xf numFmtId="0" fontId="7" fillId="2" borderId="10" xfId="2" applyFill="1" applyBorder="1" applyAlignment="1">
      <alignment vertical="center" wrapText="1"/>
    </xf>
    <xf numFmtId="0" fontId="14" fillId="0" borderId="0" xfId="0" applyFont="1"/>
    <xf numFmtId="0" fontId="0" fillId="4" borderId="0" xfId="0" applyFill="1" applyAlignment="1">
      <alignment wrapText="1"/>
    </xf>
    <xf numFmtId="0" fontId="13" fillId="2" borderId="13" xfId="0" applyFont="1" applyFill="1" applyBorder="1" applyAlignment="1">
      <alignment vertical="center" wrapText="1"/>
    </xf>
    <xf numFmtId="0" fontId="16" fillId="2" borderId="5" xfId="0" applyFont="1" applyFill="1" applyBorder="1" applyAlignment="1">
      <alignment vertical="center" wrapText="1"/>
    </xf>
    <xf numFmtId="0" fontId="16" fillId="2" borderId="4" xfId="0" applyFont="1" applyFill="1" applyBorder="1" applyAlignment="1">
      <alignment vertical="center" wrapText="1"/>
    </xf>
    <xf numFmtId="0" fontId="0" fillId="2" borderId="49" xfId="0" applyFill="1" applyBorder="1" applyAlignment="1">
      <alignment vertical="center" wrapText="1"/>
    </xf>
    <xf numFmtId="0" fontId="0" fillId="2" borderId="42" xfId="0" applyFill="1" applyBorder="1" applyAlignment="1">
      <alignment vertical="center" wrapText="1"/>
    </xf>
    <xf numFmtId="0" fontId="0" fillId="5" borderId="51" xfId="0" applyFill="1" applyBorder="1" applyAlignment="1">
      <alignment vertical="center" wrapText="1"/>
    </xf>
    <xf numFmtId="0" fontId="2" fillId="5" borderId="57" xfId="0" applyFont="1" applyFill="1" applyBorder="1" applyAlignment="1">
      <alignment vertical="center" wrapText="1"/>
    </xf>
    <xf numFmtId="0" fontId="2" fillId="5" borderId="25" xfId="0" applyFont="1" applyFill="1" applyBorder="1" applyAlignment="1">
      <alignment vertical="center" wrapText="1"/>
    </xf>
    <xf numFmtId="0" fontId="0" fillId="0" borderId="0" xfId="0" applyAlignment="1">
      <alignment vertical="top" wrapText="1"/>
    </xf>
    <xf numFmtId="0" fontId="0" fillId="2" borderId="37" xfId="0" applyFill="1" applyBorder="1" applyAlignment="1">
      <alignment horizontal="left" vertical="center" wrapText="1"/>
    </xf>
    <xf numFmtId="0" fontId="0" fillId="6" borderId="0" xfId="0" applyFill="1" applyAlignment="1">
      <alignment horizontal="left" vertical="center" wrapText="1"/>
    </xf>
    <xf numFmtId="0" fontId="0" fillId="6" borderId="0" xfId="0" applyFill="1"/>
    <xf numFmtId="0" fontId="0" fillId="2" borderId="0" xfId="0" applyFill="1"/>
    <xf numFmtId="0" fontId="0" fillId="0" borderId="51" xfId="0" applyBorder="1" applyAlignment="1">
      <alignment horizont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0" fillId="2" borderId="49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2" fillId="2" borderId="4" xfId="0" quotePrefix="1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vertical="center" wrapText="1"/>
    </xf>
    <xf numFmtId="0" fontId="0" fillId="2" borderId="10" xfId="0" applyFill="1" applyBorder="1" applyAlignment="1">
      <alignment horizontal="left" vertical="center" wrapText="1"/>
    </xf>
    <xf numFmtId="0" fontId="13" fillId="2" borderId="4" xfId="0" applyFont="1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0" borderId="51" xfId="0" applyBorder="1" applyAlignment="1">
      <alignment horizontal="left" vertical="center" wrapText="1"/>
    </xf>
    <xf numFmtId="0" fontId="0" fillId="0" borderId="51" xfId="0" applyBorder="1" applyAlignment="1">
      <alignment horizontal="left" vertical="top" wrapText="1"/>
    </xf>
    <xf numFmtId="0" fontId="0" fillId="2" borderId="10" xfId="0" applyFill="1" applyBorder="1" applyAlignment="1">
      <alignment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39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0" fontId="0" fillId="2" borderId="43" xfId="0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0" fillId="2" borderId="40" xfId="0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0" fillId="2" borderId="4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3" xfId="0" applyFill="1" applyBorder="1" applyAlignment="1">
      <alignment horizontal="left" vertical="center"/>
    </xf>
    <xf numFmtId="0" fontId="0" fillId="2" borderId="9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0" fillId="2" borderId="29" xfId="0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4" fillId="0" borderId="0" xfId="0" applyFont="1" applyAlignment="1">
      <alignment wrapText="1"/>
    </xf>
    <xf numFmtId="0" fontId="18" fillId="2" borderId="29" xfId="0" applyFont="1" applyFill="1" applyBorder="1" applyAlignment="1">
      <alignment vertical="center" wrapText="1"/>
    </xf>
    <xf numFmtId="0" fontId="18" fillId="2" borderId="11" xfId="0" applyFont="1" applyFill="1" applyBorder="1" applyAlignment="1">
      <alignment vertical="center" wrapText="1"/>
    </xf>
    <xf numFmtId="0" fontId="18" fillId="2" borderId="14" xfId="0" applyFont="1" applyFill="1" applyBorder="1" applyAlignment="1">
      <alignment vertical="center" wrapText="1"/>
    </xf>
    <xf numFmtId="0" fontId="18" fillId="2" borderId="30" xfId="0" applyFont="1" applyFill="1" applyBorder="1" applyAlignment="1">
      <alignment horizontal="center" vertical="center" wrapText="1"/>
    </xf>
    <xf numFmtId="0" fontId="20" fillId="9" borderId="22" xfId="0" applyFont="1" applyFill="1" applyBorder="1" applyAlignment="1">
      <alignment horizontal="center" vertical="center" wrapText="1"/>
    </xf>
    <xf numFmtId="0" fontId="19" fillId="9" borderId="17" xfId="0" applyFont="1" applyFill="1" applyBorder="1" applyAlignment="1">
      <alignment vertical="center" wrapText="1"/>
    </xf>
    <xf numFmtId="0" fontId="19" fillId="10" borderId="15" xfId="0" applyFont="1" applyFill="1" applyBorder="1" applyAlignment="1">
      <alignment vertical="center" wrapText="1"/>
    </xf>
    <xf numFmtId="0" fontId="19" fillId="10" borderId="16" xfId="0" applyFont="1" applyFill="1" applyBorder="1" applyAlignment="1">
      <alignment vertical="center" wrapText="1"/>
    </xf>
    <xf numFmtId="0" fontId="19" fillId="10" borderId="16" xfId="0" applyFont="1" applyFill="1" applyBorder="1" applyAlignment="1">
      <alignment horizontal="center" vertical="center" wrapText="1"/>
    </xf>
    <xf numFmtId="0" fontId="19" fillId="10" borderId="17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0" fillId="9" borderId="21" xfId="0" applyFont="1" applyFill="1" applyBorder="1" applyAlignment="1">
      <alignment horizontal="centerContinuous" vertical="center" wrapText="1"/>
    </xf>
    <xf numFmtId="0" fontId="20" fillId="9" borderId="22" xfId="0" applyFont="1" applyFill="1" applyBorder="1" applyAlignment="1">
      <alignment horizontal="centerContinuous" vertical="center" wrapText="1"/>
    </xf>
    <xf numFmtId="0" fontId="19" fillId="10" borderId="15" xfId="0" applyFont="1" applyFill="1" applyBorder="1" applyAlignment="1">
      <alignment horizontal="center" vertical="center" wrapText="1"/>
    </xf>
    <xf numFmtId="0" fontId="19" fillId="10" borderId="16" xfId="0" applyFont="1" applyFill="1" applyBorder="1" applyAlignment="1">
      <alignment horizontal="center" vertical="center"/>
    </xf>
    <xf numFmtId="0" fontId="19" fillId="10" borderId="17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 indent="5"/>
    </xf>
    <xf numFmtId="0" fontId="0" fillId="0" borderId="5" xfId="0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vertical="center" wrapText="1"/>
    </xf>
    <xf numFmtId="0" fontId="14" fillId="2" borderId="9" xfId="0" applyFont="1" applyFill="1" applyBorder="1"/>
    <xf numFmtId="0" fontId="14" fillId="2" borderId="11" xfId="0" applyFont="1" applyFill="1" applyBorder="1"/>
    <xf numFmtId="0" fontId="14" fillId="2" borderId="30" xfId="0" applyFont="1" applyFill="1" applyBorder="1" applyAlignment="1">
      <alignment horizontal="center"/>
    </xf>
    <xf numFmtId="0" fontId="14" fillId="2" borderId="14" xfId="0" applyFont="1" applyFill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14" fillId="2" borderId="29" xfId="0" applyFont="1" applyFill="1" applyBorder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14" fillId="2" borderId="14" xfId="0" applyFont="1" applyFill="1" applyBorder="1"/>
    <xf numFmtId="0" fontId="14" fillId="2" borderId="28" xfId="0" applyFont="1" applyFill="1" applyBorder="1" applyAlignment="1">
      <alignment horizontal="center"/>
    </xf>
    <xf numFmtId="0" fontId="16" fillId="11" borderId="4" xfId="0" applyFont="1" applyFill="1" applyBorder="1" applyAlignment="1">
      <alignment horizontal="center" vertical="center" wrapText="1"/>
    </xf>
    <xf numFmtId="9" fontId="16" fillId="0" borderId="5" xfId="1" applyFont="1" applyFill="1" applyBorder="1" applyAlignment="1">
      <alignment horizontal="center" vertical="center" wrapText="1"/>
    </xf>
    <xf numFmtId="9" fontId="16" fillId="11" borderId="4" xfId="1" applyFont="1" applyFill="1" applyBorder="1" applyAlignment="1">
      <alignment horizontal="center" vertical="center" wrapText="1"/>
    </xf>
    <xf numFmtId="9" fontId="16" fillId="11" borderId="5" xfId="1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vertical="center" wrapText="1"/>
    </xf>
    <xf numFmtId="0" fontId="16" fillId="11" borderId="13" xfId="0" applyFont="1" applyFill="1" applyBorder="1" applyAlignment="1">
      <alignment vertical="center" wrapText="1"/>
    </xf>
    <xf numFmtId="9" fontId="16" fillId="11" borderId="4" xfId="1" applyFont="1" applyFill="1" applyBorder="1" applyAlignment="1">
      <alignment vertical="center" wrapText="1"/>
    </xf>
    <xf numFmtId="9" fontId="16" fillId="11" borderId="13" xfId="1" applyFont="1" applyFill="1" applyBorder="1" applyAlignment="1">
      <alignment vertical="center" wrapText="1"/>
    </xf>
    <xf numFmtId="9" fontId="16" fillId="0" borderId="26" xfId="1" applyFont="1" applyFill="1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2" fillId="0" borderId="26" xfId="0" applyFont="1" applyBorder="1" applyAlignment="1">
      <alignment vertical="center" wrapText="1"/>
    </xf>
    <xf numFmtId="0" fontId="14" fillId="0" borderId="31" xfId="0" applyFont="1" applyBorder="1"/>
    <xf numFmtId="0" fontId="19" fillId="12" borderId="26" xfId="0" applyFont="1" applyFill="1" applyBorder="1" applyAlignment="1">
      <alignment horizontal="centerContinuous" vertical="center" wrapText="1"/>
    </xf>
    <xf numFmtId="0" fontId="19" fillId="10" borderId="27" xfId="0" applyFont="1" applyFill="1" applyBorder="1" applyAlignment="1">
      <alignment horizontal="center" vertical="center" wrapText="1"/>
    </xf>
    <xf numFmtId="0" fontId="19" fillId="10" borderId="28" xfId="0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12" borderId="59" xfId="0" applyFont="1" applyFill="1" applyBorder="1" applyAlignment="1">
      <alignment horizontal="centerContinuous" vertical="center"/>
    </xf>
    <xf numFmtId="0" fontId="19" fillId="12" borderId="27" xfId="0" applyFont="1" applyFill="1" applyBorder="1" applyAlignment="1">
      <alignment horizontal="centerContinuous" vertical="center" wrapText="1"/>
    </xf>
    <xf numFmtId="0" fontId="12" fillId="0" borderId="5" xfId="0" applyFont="1" applyBorder="1" applyAlignment="1">
      <alignment vertical="center" wrapText="1"/>
    </xf>
    <xf numFmtId="0" fontId="14" fillId="0" borderId="31" xfId="0" applyFont="1" applyBorder="1" applyAlignment="1">
      <alignment horizontal="center"/>
    </xf>
    <xf numFmtId="0" fontId="19" fillId="12" borderId="37" xfId="0" applyFont="1" applyFill="1" applyBorder="1" applyAlignment="1">
      <alignment horizontal="centerContinuous" vertical="center" wrapText="1"/>
    </xf>
    <xf numFmtId="0" fontId="19" fillId="12" borderId="5" xfId="0" applyFont="1" applyFill="1" applyBorder="1" applyAlignment="1">
      <alignment horizontal="centerContinuous" vertical="center" wrapText="1"/>
    </xf>
    <xf numFmtId="0" fontId="12" fillId="0" borderId="4" xfId="0" applyFont="1" applyBorder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19" fillId="12" borderId="10" xfId="0" applyFont="1" applyFill="1" applyBorder="1" applyAlignment="1">
      <alignment horizontal="centerContinuous" vertical="center" wrapText="1"/>
    </xf>
    <xf numFmtId="0" fontId="19" fillId="12" borderId="4" xfId="0" applyFont="1" applyFill="1" applyBorder="1" applyAlignment="1">
      <alignment horizontal="centerContinuous" vertical="center" wrapText="1"/>
    </xf>
    <xf numFmtId="0" fontId="19" fillId="12" borderId="39" xfId="0" applyFont="1" applyFill="1" applyBorder="1" applyAlignment="1">
      <alignment horizontal="centerContinuous" vertical="center" wrapText="1"/>
    </xf>
    <xf numFmtId="0" fontId="19" fillId="12" borderId="58" xfId="0" applyFont="1" applyFill="1" applyBorder="1" applyAlignment="1">
      <alignment horizontal="centerContinuous" vertical="center" wrapText="1"/>
    </xf>
    <xf numFmtId="0" fontId="21" fillId="8" borderId="0" xfId="0" applyFont="1" applyFill="1"/>
    <xf numFmtId="0" fontId="19" fillId="9" borderId="34" xfId="0" applyFont="1" applyFill="1" applyBorder="1" applyAlignment="1">
      <alignment vertical="center" wrapText="1"/>
    </xf>
    <xf numFmtId="0" fontId="19" fillId="9" borderId="35" xfId="0" applyFont="1" applyFill="1" applyBorder="1" applyAlignment="1">
      <alignment vertical="center" wrapText="1"/>
    </xf>
    <xf numFmtId="0" fontId="21" fillId="9" borderId="0" xfId="0" applyFont="1" applyFill="1"/>
    <xf numFmtId="0" fontId="19" fillId="10" borderId="35" xfId="0" applyFont="1" applyFill="1" applyBorder="1" applyAlignment="1">
      <alignment vertical="center" wrapText="1"/>
    </xf>
    <xf numFmtId="0" fontId="21" fillId="10" borderId="0" xfId="0" applyFont="1" applyFill="1"/>
    <xf numFmtId="0" fontId="2" fillId="0" borderId="22" xfId="0" applyFont="1" applyBorder="1" applyAlignment="1">
      <alignment horizontal="center" vertical="center" wrapText="1"/>
    </xf>
    <xf numFmtId="0" fontId="19" fillId="12" borderId="22" xfId="0" applyFont="1" applyFill="1" applyBorder="1" applyAlignment="1">
      <alignment horizontal="centerContinuous" vertical="center" wrapText="1"/>
    </xf>
    <xf numFmtId="0" fontId="16" fillId="11" borderId="49" xfId="0" applyFont="1" applyFill="1" applyBorder="1" applyAlignment="1">
      <alignment vertical="center" wrapText="1"/>
    </xf>
    <xf numFmtId="0" fontId="16" fillId="11" borderId="39" xfId="0" applyFont="1" applyFill="1" applyBorder="1" applyAlignment="1">
      <alignment vertical="center" wrapText="1"/>
    </xf>
    <xf numFmtId="0" fontId="13" fillId="11" borderId="13" xfId="0" applyFont="1" applyFill="1" applyBorder="1" applyAlignment="1">
      <alignment vertical="center" wrapText="1"/>
    </xf>
    <xf numFmtId="0" fontId="16" fillId="11" borderId="5" xfId="0" applyFont="1" applyFill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16" fillId="11" borderId="6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19" fillId="12" borderId="19" xfId="0" applyFont="1" applyFill="1" applyBorder="1" applyAlignment="1">
      <alignment horizontal="centerContinuous" vertical="center" wrapText="1"/>
    </xf>
    <xf numFmtId="9" fontId="22" fillId="11" borderId="13" xfId="1" applyFont="1" applyFill="1" applyBorder="1" applyAlignment="1">
      <alignment vertical="center" wrapText="1"/>
    </xf>
    <xf numFmtId="9" fontId="22" fillId="11" borderId="6" xfId="1" applyFont="1" applyFill="1" applyBorder="1" applyAlignment="1">
      <alignment vertical="center" wrapText="1"/>
    </xf>
    <xf numFmtId="0" fontId="19" fillId="9" borderId="50" xfId="0" applyFont="1" applyFill="1" applyBorder="1" applyAlignment="1">
      <alignment vertical="center" wrapText="1"/>
    </xf>
    <xf numFmtId="0" fontId="19" fillId="9" borderId="35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23" fillId="12" borderId="19" xfId="0" applyFont="1" applyFill="1" applyBorder="1" applyAlignment="1">
      <alignment horizontal="centerContinuous" vertical="center" wrapText="1"/>
    </xf>
    <xf numFmtId="0" fontId="0" fillId="2" borderId="52" xfId="0" applyFill="1" applyBorder="1" applyAlignment="1">
      <alignment horizontal="left" vertical="center"/>
    </xf>
    <xf numFmtId="0" fontId="0" fillId="2" borderId="45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9" fillId="12" borderId="0" xfId="0" applyFont="1" applyFill="1" applyAlignment="1">
      <alignment horizontal="centerContinuous" vertical="center" wrapText="1"/>
    </xf>
    <xf numFmtId="0" fontId="16" fillId="11" borderId="4" xfId="0" applyFont="1" applyFill="1" applyBorder="1" applyAlignment="1">
      <alignment horizontal="left" vertical="center" wrapText="1" indent="5"/>
    </xf>
    <xf numFmtId="0" fontId="19" fillId="0" borderId="21" xfId="0" applyFont="1" applyBorder="1" applyAlignment="1">
      <alignment vertical="center" wrapText="1"/>
    </xf>
    <xf numFmtId="0" fontId="19" fillId="0" borderId="22" xfId="0" applyFont="1" applyBorder="1" applyAlignment="1">
      <alignment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8" xfId="0" applyFont="1" applyBorder="1" applyAlignment="1">
      <alignment vertical="center" wrapText="1"/>
    </xf>
    <xf numFmtId="0" fontId="19" fillId="12" borderId="21" xfId="0" applyFont="1" applyFill="1" applyBorder="1" applyAlignment="1">
      <alignment horizontal="centerContinuous" vertical="center" wrapText="1"/>
    </xf>
    <xf numFmtId="0" fontId="19" fillId="0" borderId="0" xfId="0" applyFont="1" applyAlignment="1">
      <alignment horizontal="center" vertical="center" wrapText="1"/>
    </xf>
    <xf numFmtId="0" fontId="19" fillId="10" borderId="59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vertical="center" wrapText="1"/>
    </xf>
    <xf numFmtId="0" fontId="19" fillId="8" borderId="1" xfId="0" applyFont="1" applyFill="1" applyBorder="1" applyAlignment="1">
      <alignment vertical="center" wrapText="1"/>
    </xf>
    <xf numFmtId="0" fontId="19" fillId="8" borderId="2" xfId="0" applyFont="1" applyFill="1" applyBorder="1" applyAlignment="1">
      <alignment vertical="center" wrapText="1"/>
    </xf>
    <xf numFmtId="0" fontId="19" fillId="8" borderId="3" xfId="0" applyFont="1" applyFill="1" applyBorder="1" applyAlignment="1">
      <alignment vertical="center" wrapText="1"/>
    </xf>
    <xf numFmtId="0" fontId="19" fillId="9" borderId="0" xfId="0" applyFont="1" applyFill="1" applyAlignment="1">
      <alignment vertical="center" wrapText="1"/>
    </xf>
    <xf numFmtId="0" fontId="19" fillId="8" borderId="15" xfId="0" applyFont="1" applyFill="1" applyBorder="1" applyAlignment="1">
      <alignment vertical="center" wrapText="1"/>
    </xf>
    <xf numFmtId="0" fontId="20" fillId="9" borderId="21" xfId="0" applyFont="1" applyFill="1" applyBorder="1" applyAlignment="1">
      <alignment horizontal="left"/>
    </xf>
    <xf numFmtId="0" fontId="0" fillId="2" borderId="44" xfId="0" applyFill="1" applyBorder="1" applyAlignment="1">
      <alignment horizontal="left" vertical="center"/>
    </xf>
    <xf numFmtId="0" fontId="2" fillId="2" borderId="8" xfId="0" quotePrefix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19" fillId="10" borderId="6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43" xfId="0" applyBorder="1" applyAlignment="1">
      <alignment horizontal="left" vertical="center"/>
    </xf>
    <xf numFmtId="0" fontId="0" fillId="2" borderId="8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53" xfId="0" applyBorder="1" applyAlignment="1">
      <alignment vertical="center" wrapText="1"/>
    </xf>
    <xf numFmtId="0" fontId="0" fillId="2" borderId="53" xfId="0" applyFill="1" applyBorder="1" applyAlignment="1">
      <alignment vertical="center" wrapText="1"/>
    </xf>
    <xf numFmtId="0" fontId="0" fillId="2" borderId="53" xfId="0" applyFill="1" applyBorder="1" applyAlignment="1">
      <alignment horizontal="left" vertical="center" wrapText="1"/>
    </xf>
    <xf numFmtId="0" fontId="0" fillId="2" borderId="45" xfId="0" applyFill="1" applyBorder="1" applyAlignment="1">
      <alignment vertical="center" wrapText="1"/>
    </xf>
    <xf numFmtId="0" fontId="0" fillId="2" borderId="52" xfId="0" applyFill="1" applyBorder="1" applyAlignment="1">
      <alignment horizontal="left" vertical="center" wrapText="1"/>
    </xf>
    <xf numFmtId="0" fontId="0" fillId="0" borderId="43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2" borderId="44" xfId="0" applyFill="1" applyBorder="1" applyAlignment="1">
      <alignment vertical="center" wrapText="1"/>
    </xf>
    <xf numFmtId="0" fontId="0" fillId="2" borderId="38" xfId="0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2" borderId="55" xfId="0" applyFill="1" applyBorder="1" applyAlignment="1">
      <alignment vertical="center" wrapText="1"/>
    </xf>
    <xf numFmtId="0" fontId="0" fillId="2" borderId="48" xfId="0" applyFill="1" applyBorder="1" applyAlignment="1">
      <alignment vertical="center" wrapText="1"/>
    </xf>
    <xf numFmtId="0" fontId="2" fillId="7" borderId="15" xfId="0" applyFont="1" applyFill="1" applyBorder="1" applyAlignment="1" applyProtection="1">
      <alignment vertical="center" wrapText="1"/>
      <protection locked="0"/>
    </xf>
    <xf numFmtId="0" fontId="17" fillId="7" borderId="5" xfId="0" applyFont="1" applyFill="1" applyBorder="1" applyAlignment="1" applyProtection="1">
      <alignment vertical="center" wrapText="1"/>
      <protection locked="0"/>
    </xf>
    <xf numFmtId="0" fontId="16" fillId="7" borderId="4" xfId="0" applyFont="1" applyFill="1" applyBorder="1" applyAlignment="1" applyProtection="1">
      <alignment vertical="center" wrapText="1"/>
      <protection locked="0"/>
    </xf>
    <xf numFmtId="0" fontId="16" fillId="7" borderId="4" xfId="0" applyFont="1" applyFill="1" applyBorder="1" applyAlignment="1" applyProtection="1">
      <alignment horizontal="center" vertical="center" wrapText="1"/>
      <protection locked="0"/>
    </xf>
    <xf numFmtId="0" fontId="16" fillId="7" borderId="8" xfId="0" applyFont="1" applyFill="1" applyBorder="1" applyAlignment="1" applyProtection="1">
      <alignment vertical="center" wrapText="1"/>
      <protection locked="0"/>
    </xf>
    <xf numFmtId="0" fontId="16" fillId="7" borderId="5" xfId="0" applyFont="1" applyFill="1" applyBorder="1" applyAlignment="1" applyProtection="1">
      <alignment vertical="center" wrapText="1"/>
      <protection locked="0"/>
    </xf>
    <xf numFmtId="0" fontId="17" fillId="7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13" xfId="0" applyFont="1" applyFill="1" applyBorder="1" applyAlignment="1" applyProtection="1">
      <alignment vertical="center" wrapText="1"/>
      <protection locked="0"/>
    </xf>
    <xf numFmtId="0" fontId="16" fillId="7" borderId="8" xfId="0" applyFont="1" applyFill="1" applyBorder="1" applyAlignment="1" applyProtection="1">
      <alignment horizontal="center" vertical="center" wrapText="1"/>
      <protection locked="0"/>
    </xf>
    <xf numFmtId="0" fontId="17" fillId="7" borderId="4" xfId="0" applyFont="1" applyFill="1" applyBorder="1" applyAlignment="1" applyProtection="1">
      <alignment horizontal="center" vertical="center" wrapText="1"/>
      <protection locked="0"/>
    </xf>
    <xf numFmtId="0" fontId="16" fillId="7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6" xfId="0" applyFont="1" applyFill="1" applyBorder="1" applyAlignment="1" applyProtection="1">
      <alignment horizontal="center" vertical="center" wrapText="1"/>
      <protection locked="0"/>
    </xf>
    <xf numFmtId="0" fontId="16" fillId="7" borderId="6" xfId="0" applyFont="1" applyFill="1" applyBorder="1" applyAlignment="1" applyProtection="1">
      <alignment vertical="center" wrapText="1"/>
      <protection locked="0"/>
    </xf>
    <xf numFmtId="0" fontId="22" fillId="7" borderId="4" xfId="0" applyFont="1" applyFill="1" applyBorder="1" applyAlignment="1" applyProtection="1">
      <alignment horizontal="center" vertical="center" wrapText="1"/>
      <protection locked="0"/>
    </xf>
    <xf numFmtId="0" fontId="22" fillId="7" borderId="4" xfId="0" applyFont="1" applyFill="1" applyBorder="1" applyAlignment="1" applyProtection="1">
      <alignment vertical="center" wrapText="1"/>
      <protection locked="0"/>
    </xf>
    <xf numFmtId="0" fontId="22" fillId="7" borderId="8" xfId="0" applyFont="1" applyFill="1" applyBorder="1" applyAlignment="1" applyProtection="1">
      <alignment vertical="center" wrapText="1"/>
      <protection locked="0"/>
    </xf>
    <xf numFmtId="0" fontId="22" fillId="7" borderId="8" xfId="0" applyFont="1" applyFill="1" applyBorder="1" applyAlignment="1" applyProtection="1">
      <alignment horizontal="center" vertical="center" wrapText="1"/>
      <protection locked="0"/>
    </xf>
    <xf numFmtId="0" fontId="16" fillId="7" borderId="5" xfId="0" applyFont="1" applyFill="1" applyBorder="1" applyAlignment="1" applyProtection="1">
      <alignment horizontal="center" vertical="center" wrapText="1"/>
      <protection locked="0"/>
    </xf>
    <xf numFmtId="0" fontId="16" fillId="7" borderId="13" xfId="0" applyFont="1" applyFill="1" applyBorder="1" applyAlignment="1" applyProtection="1">
      <alignment horizontal="center" vertical="center" wrapText="1"/>
      <protection locked="0"/>
    </xf>
    <xf numFmtId="0" fontId="16" fillId="7" borderId="4" xfId="0" applyFont="1" applyFill="1" applyBorder="1" applyAlignment="1" applyProtection="1">
      <alignment horizontal="left" vertical="center" wrapText="1"/>
      <protection locked="0"/>
    </xf>
    <xf numFmtId="0" fontId="16" fillId="7" borderId="5" xfId="0" applyFont="1" applyFill="1" applyBorder="1" applyAlignment="1" applyProtection="1">
      <alignment horizontal="left" vertical="center" wrapText="1" indent="5"/>
      <protection locked="0"/>
    </xf>
    <xf numFmtId="0" fontId="16" fillId="7" borderId="32" xfId="0" applyFont="1" applyFill="1" applyBorder="1" applyAlignment="1" applyProtection="1">
      <alignment vertical="center" wrapText="1"/>
      <protection locked="0"/>
    </xf>
    <xf numFmtId="0" fontId="16" fillId="7" borderId="33" xfId="0" applyFont="1" applyFill="1" applyBorder="1" applyAlignment="1" applyProtection="1">
      <alignment vertical="center" wrapText="1"/>
      <protection locked="0"/>
    </xf>
    <xf numFmtId="0" fontId="16" fillId="7" borderId="47" xfId="0" applyFont="1" applyFill="1" applyBorder="1" applyAlignment="1" applyProtection="1">
      <alignment vertical="center" wrapText="1"/>
      <protection locked="0"/>
    </xf>
    <xf numFmtId="0" fontId="16" fillId="7" borderId="36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horizontal="left" vertical="center" wrapText="1" indent="5"/>
      <protection locked="0"/>
    </xf>
    <xf numFmtId="0" fontId="16" fillId="7" borderId="48" xfId="0" applyFont="1" applyFill="1" applyBorder="1" applyAlignment="1" applyProtection="1">
      <alignment vertical="center" wrapText="1"/>
      <protection locked="0"/>
    </xf>
    <xf numFmtId="0" fontId="0" fillId="2" borderId="52" xfId="0" applyFill="1" applyBorder="1" applyAlignment="1">
      <alignment vertical="center" wrapText="1"/>
    </xf>
    <xf numFmtId="0" fontId="14" fillId="2" borderId="30" xfId="0" applyFont="1" applyFill="1" applyBorder="1"/>
    <xf numFmtId="0" fontId="17" fillId="11" borderId="4" xfId="0" applyFont="1" applyFill="1" applyBorder="1" applyAlignment="1" applyProtection="1">
      <alignment horizontal="left" vertical="center" wrapText="1" indent="5"/>
      <protection locked="0"/>
    </xf>
    <xf numFmtId="0" fontId="16" fillId="11" borderId="6" xfId="0" applyFont="1" applyFill="1" applyBorder="1" applyAlignment="1" applyProtection="1">
      <alignment vertical="center" wrapText="1"/>
      <protection locked="0"/>
    </xf>
    <xf numFmtId="0" fontId="16" fillId="11" borderId="4" xfId="0" applyFont="1" applyFill="1" applyBorder="1" applyAlignment="1" applyProtection="1">
      <alignment horizontal="center" vertical="center" wrapText="1"/>
      <protection locked="0"/>
    </xf>
    <xf numFmtId="0" fontId="0" fillId="2" borderId="62" xfId="0" applyFill="1" applyBorder="1" applyAlignment="1">
      <alignment vertical="center" wrapText="1"/>
    </xf>
    <xf numFmtId="0" fontId="2" fillId="2" borderId="26" xfId="0" applyFont="1" applyFill="1" applyBorder="1" applyAlignment="1">
      <alignment vertical="center" wrapText="1"/>
    </xf>
    <xf numFmtId="0" fontId="0" fillId="7" borderId="0" xfId="0" applyFill="1"/>
    <xf numFmtId="0" fontId="0" fillId="11" borderId="0" xfId="0" applyFill="1"/>
    <xf numFmtId="0" fontId="6" fillId="0" borderId="0" xfId="0" applyFont="1" applyAlignment="1">
      <alignment vertical="center"/>
    </xf>
    <xf numFmtId="0" fontId="19" fillId="10" borderId="34" xfId="0" applyFont="1" applyFill="1" applyBorder="1" applyAlignment="1">
      <alignment vertical="center" wrapText="1"/>
    </xf>
    <xf numFmtId="0" fontId="19" fillId="10" borderId="46" xfId="0" applyFont="1" applyFill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2" borderId="52" xfId="0" applyFill="1" applyBorder="1" applyAlignment="1">
      <alignment vertical="center"/>
    </xf>
    <xf numFmtId="0" fontId="2" fillId="2" borderId="27" xfId="0" applyFont="1" applyFill="1" applyBorder="1" applyAlignment="1">
      <alignment vertical="center" wrapText="1"/>
    </xf>
    <xf numFmtId="0" fontId="0" fillId="5" borderId="21" xfId="0" applyFill="1" applyBorder="1"/>
    <xf numFmtId="0" fontId="0" fillId="5" borderId="23" xfId="0" applyFill="1" applyBorder="1"/>
    <xf numFmtId="0" fontId="0" fillId="2" borderId="43" xfId="0" applyFill="1" applyBorder="1" applyAlignment="1">
      <alignment horizontal="center" vertical="center"/>
    </xf>
    <xf numFmtId="0" fontId="0" fillId="5" borderId="24" xfId="0" applyFill="1" applyBorder="1" applyAlignment="1">
      <alignment vertical="center" wrapText="1"/>
    </xf>
    <xf numFmtId="0" fontId="0" fillId="2" borderId="52" xfId="0" applyFill="1" applyBorder="1" applyAlignment="1">
      <alignment horizontal="center" vertical="center"/>
    </xf>
    <xf numFmtId="0" fontId="0" fillId="5" borderId="61" xfId="0" applyFill="1" applyBorder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0" fillId="2" borderId="44" xfId="0" applyFill="1" applyBorder="1" applyAlignment="1">
      <alignment horizontal="center" vertical="center"/>
    </xf>
    <xf numFmtId="0" fontId="0" fillId="2" borderId="56" xfId="0" applyFill="1" applyBorder="1" applyAlignment="1">
      <alignment vertical="center" wrapText="1"/>
    </xf>
    <xf numFmtId="0" fontId="0" fillId="2" borderId="45" xfId="0" applyFill="1" applyBorder="1" applyAlignment="1">
      <alignment vertical="center"/>
    </xf>
    <xf numFmtId="0" fontId="0" fillId="2" borderId="38" xfId="0" applyFill="1" applyBorder="1" applyAlignment="1">
      <alignment vertical="center" wrapText="1"/>
    </xf>
    <xf numFmtId="0" fontId="0" fillId="2" borderId="53" xfId="0" applyFill="1" applyBorder="1" applyAlignment="1">
      <alignment horizontal="left" vertical="center"/>
    </xf>
    <xf numFmtId="0" fontId="0" fillId="2" borderId="54" xfId="0" applyFill="1" applyBorder="1" applyAlignment="1">
      <alignment horizontal="left" vertical="center"/>
    </xf>
    <xf numFmtId="0" fontId="2" fillId="3" borderId="0" xfId="0" applyFont="1" applyFill="1"/>
    <xf numFmtId="0" fontId="19" fillId="10" borderId="20" xfId="0" applyFont="1" applyFill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16" fillId="2" borderId="8" xfId="0" applyFont="1" applyFill="1" applyBorder="1" applyAlignment="1">
      <alignment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30" xfId="0" applyFill="1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0" fontId="0" fillId="2" borderId="27" xfId="0" applyFill="1" applyBorder="1" applyAlignment="1">
      <alignment horizontal="centerContinuous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Continuous" vertical="center" wrapText="1"/>
    </xf>
    <xf numFmtId="0" fontId="0" fillId="2" borderId="55" xfId="0" applyFill="1" applyBorder="1" applyAlignment="1">
      <alignment horizontal="centerContinuous" vertical="center" wrapText="1"/>
    </xf>
    <xf numFmtId="0" fontId="0" fillId="2" borderId="14" xfId="0" applyFill="1" applyBorder="1" applyAlignment="1">
      <alignment horizontal="center" vertical="center" wrapText="1"/>
    </xf>
    <xf numFmtId="0" fontId="15" fillId="4" borderId="0" xfId="0" applyFont="1" applyFill="1"/>
    <xf numFmtId="0" fontId="2" fillId="0" borderId="20" xfId="0" applyFont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 applyAlignment="1">
      <alignment vertical="center"/>
    </xf>
    <xf numFmtId="0" fontId="16" fillId="0" borderId="5" xfId="0" applyFont="1" applyBorder="1" applyAlignment="1" applyProtection="1">
      <alignment vertical="center" wrapText="1"/>
      <protection locked="0"/>
    </xf>
    <xf numFmtId="0" fontId="12" fillId="0" borderId="0" xfId="0" applyFont="1" applyProtection="1">
      <protection locked="0"/>
    </xf>
    <xf numFmtId="0" fontId="19" fillId="10" borderId="27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2" fontId="16" fillId="7" borderId="4" xfId="3" applyNumberFormat="1" applyFont="1" applyFill="1" applyBorder="1" applyAlignment="1" applyProtection="1">
      <alignment horizontal="center" vertical="center" wrapText="1"/>
      <protection locked="0"/>
    </xf>
    <xf numFmtId="9" fontId="16" fillId="11" borderId="26" xfId="1" applyFont="1" applyFill="1" applyBorder="1" applyAlignment="1">
      <alignment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6" xfId="0" applyFill="1" applyBorder="1" applyAlignment="1">
      <alignment vertical="center" wrapText="1"/>
    </xf>
    <xf numFmtId="0" fontId="16" fillId="7" borderId="26" xfId="0" applyFont="1" applyFill="1" applyBorder="1" applyAlignment="1" applyProtection="1">
      <alignment vertical="center" wrapText="1"/>
      <protection locked="0"/>
    </xf>
    <xf numFmtId="0" fontId="14" fillId="2" borderId="31" xfId="0" applyFont="1" applyFill="1" applyBorder="1"/>
    <xf numFmtId="0" fontId="0" fillId="2" borderId="58" xfId="0" applyFill="1" applyBorder="1" applyAlignment="1">
      <alignment horizontal="left" vertical="center" wrapText="1"/>
    </xf>
    <xf numFmtId="0" fontId="19" fillId="12" borderId="63" xfId="0" applyFont="1" applyFill="1" applyBorder="1" applyAlignment="1">
      <alignment horizontal="centerContinuous" vertical="center" wrapText="1"/>
    </xf>
    <xf numFmtId="0" fontId="14" fillId="2" borderId="29" xfId="0" applyFont="1" applyFill="1" applyBorder="1"/>
    <xf numFmtId="9" fontId="16" fillId="0" borderId="15" xfId="1" applyFont="1" applyFill="1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4" fillId="0" borderId="17" xfId="0" applyFont="1" applyBorder="1"/>
  </cellXfs>
  <cellStyles count="4">
    <cellStyle name="Lien hypertexte" xfId="2" builtinId="8"/>
    <cellStyle name="Milliers" xfId="3" builtinId="3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205740</xdr:colOff>
      <xdr:row>10</xdr:row>
      <xdr:rowOff>152400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65B919B-47A1-46C0-B4FC-00AD8000E1F0}"/>
            </a:ext>
          </a:extLst>
        </xdr:cNvPr>
        <xdr:cNvSpPr txBox="1"/>
      </xdr:nvSpPr>
      <xdr:spPr>
        <a:xfrm>
          <a:off x="792480" y="365760"/>
          <a:ext cx="11300460" cy="1615440"/>
        </a:xfrm>
        <a:prstGeom prst="rect">
          <a:avLst/>
        </a:prstGeom>
        <a:solidFill>
          <a:srgbClr val="F0F4FA"/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2000" b="1">
              <a:solidFill>
                <a:sysClr val="windowText" lastClr="000000"/>
              </a:solidFill>
            </a:rPr>
            <a:t>Fichier de saisie des données ANC 2024</a:t>
          </a:r>
          <a:r>
            <a:rPr lang="fr-FR" sz="2000" b="1" baseline="0">
              <a:solidFill>
                <a:sysClr val="windowText" lastClr="000000"/>
              </a:solidFill>
            </a:rPr>
            <a:t> pour l'analyse comparative FNCCR </a:t>
          </a:r>
          <a:r>
            <a:rPr lang="fr-FR" sz="2000" b="1">
              <a:solidFill>
                <a:sysClr val="windowText" lastClr="000000"/>
              </a:solidFill>
            </a:rPr>
            <a:t>:</a:t>
          </a:r>
        </a:p>
        <a:p>
          <a:pPr algn="l"/>
          <a:endParaRPr lang="fr-FR" sz="1400" b="1">
            <a:solidFill>
              <a:sysClr val="windowText" lastClr="000000"/>
            </a:solidFill>
          </a:endParaRPr>
        </a:p>
        <a:p>
          <a:pPr algn="l"/>
          <a:r>
            <a:rPr lang="fr-FR" sz="1400" b="0">
              <a:solidFill>
                <a:sysClr val="windowText" lastClr="000000"/>
              </a:solidFill>
            </a:rPr>
            <a:t>L'objectif de ce document</a:t>
          </a:r>
          <a:r>
            <a:rPr lang="fr-FR" sz="1400" b="0" baseline="0">
              <a:solidFill>
                <a:sysClr val="windowText" lastClr="000000"/>
              </a:solidFill>
            </a:rPr>
            <a:t> est de collecter les données relatives à votre SPANC. </a:t>
          </a:r>
        </a:p>
        <a:p>
          <a:pPr algn="l"/>
          <a:endParaRPr lang="fr-FR" sz="1400" b="0" baseline="0">
            <a:solidFill>
              <a:sysClr val="windowText" lastClr="000000"/>
            </a:solidFill>
          </a:endParaRPr>
        </a:p>
        <a:p>
          <a:pPr algn="l"/>
          <a:r>
            <a:rPr lang="fr-FR" sz="1400" b="0" baseline="0">
              <a:solidFill>
                <a:sysClr val="windowText" lastClr="000000"/>
              </a:solidFill>
            </a:rPr>
            <a:t>Ces données seront vérifiées et validées par la FNCCR avant leur intégration au rapport annuel d'analyse comparative. </a:t>
          </a:r>
        </a:p>
        <a:p>
          <a:pPr algn="l"/>
          <a:endParaRPr lang="fr-FR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19050</xdr:colOff>
      <xdr:row>12</xdr:row>
      <xdr:rowOff>127634</xdr:rowOff>
    </xdr:from>
    <xdr:to>
      <xdr:col>15</xdr:col>
      <xdr:colOff>205740</xdr:colOff>
      <xdr:row>50</xdr:row>
      <xdr:rowOff>114300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DC108211-DDDD-40B3-A3DD-74E33A71DE91}"/>
            </a:ext>
          </a:extLst>
        </xdr:cNvPr>
        <xdr:cNvSpPr txBox="1"/>
      </xdr:nvSpPr>
      <xdr:spPr>
        <a:xfrm>
          <a:off x="809625" y="2299334"/>
          <a:ext cx="11254740" cy="6863716"/>
        </a:xfrm>
        <a:prstGeom prst="rect">
          <a:avLst/>
        </a:prstGeom>
        <a:solidFill>
          <a:srgbClr val="F0F4FA"/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2000" b="1">
              <a:solidFill>
                <a:sysClr val="windowText" lastClr="000000"/>
              </a:solidFill>
            </a:rPr>
            <a:t>Comment utiliser ce document ?</a:t>
          </a:r>
        </a:p>
        <a:p>
          <a:pPr algn="l"/>
          <a:endParaRPr lang="fr-FR" sz="2000" b="1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cases de couleur vert clair sous les colonnes "valeur/réponse" sont à remplir avec les données brutes.</a:t>
          </a:r>
        </a:p>
        <a:p>
          <a:pPr algn="l"/>
          <a:endParaRPr lang="fr-FR" sz="2000" b="0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questions de type "oui/non" ou "QCM" doivent être complétées en utilisant le menu déroulant inséré dans la case de réponse.</a:t>
          </a:r>
        </a:p>
        <a:p>
          <a:pPr algn="l"/>
          <a:endParaRPr lang="fr-FR" sz="2000" b="0" baseline="0">
            <a:solidFill>
              <a:sysClr val="windowText" lastClr="000000"/>
            </a:solidFill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</a:rPr>
            <a:t>Les cases de couleur jaune sous les 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colonnes "valeur/réponse" </a:t>
          </a:r>
          <a:r>
            <a:rPr lang="fr-FR" sz="2000" b="1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ne doivent pas être modifiées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ce sont des calculs réalisés automatiquement à partir des données brutes.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Il vous est possible de compléter les données brutes renseignées par un commentaire dans la colonne "commentaires collectivité"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/!\ </a:t>
          </a:r>
          <a:r>
            <a:rPr lang="fr-FR" sz="20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Attention aux unités 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précisées dans la colonne "unité": De nombreuses valeurs financières sont en </a:t>
          </a:r>
          <a:r>
            <a:rPr lang="fr-FR" sz="2000" b="1" u="sng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k€</a:t>
          </a:r>
          <a:r>
            <a:rPr lang="fr-FR" sz="20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.</a:t>
          </a:r>
        </a:p>
        <a:p>
          <a:pPr algn="l"/>
          <a:endParaRPr lang="fr-FR" sz="20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i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Dans certains onglet, une colonne "Test logique" apparait, cette colonne permet de détecter d'éventuelles erreurs de saisies ou incohérences. </a:t>
          </a:r>
        </a:p>
        <a:p>
          <a:pPr algn="l"/>
          <a:endParaRPr lang="fr-FR" sz="2000" b="0" i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/>
          <a:r>
            <a:rPr lang="fr-FR" sz="2000" b="0" i="1" baseline="0">
              <a:solidFill>
                <a:srgbClr val="FF0000"/>
              </a:solidFill>
              <a:latin typeface="+mn-lt"/>
              <a:ea typeface="+mn-ea"/>
              <a:cs typeface="+mn-cs"/>
            </a:rPr>
            <a:t>En cas de difficulté, n'hésitez pas à nous contacter : analysecomparative@fnccr.asso.fr</a:t>
          </a:r>
        </a:p>
        <a:p>
          <a:pPr algn="l"/>
          <a:endParaRPr lang="fr-FR" sz="1400" b="0" baseline="0">
            <a:solidFill>
              <a:sysClr val="windowText" lastClr="000000"/>
            </a:solidFill>
          </a:endParaRPr>
        </a:p>
        <a:p>
          <a:pPr algn="l"/>
          <a:endParaRPr lang="fr-FR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18143</xdr:colOff>
      <xdr:row>1</xdr:row>
      <xdr:rowOff>145142</xdr:rowOff>
    </xdr:from>
    <xdr:to>
      <xdr:col>1</xdr:col>
      <xdr:colOff>283182</xdr:colOff>
      <xdr:row>5</xdr:row>
      <xdr:rowOff>47047</xdr:rowOff>
    </xdr:to>
    <xdr:pic>
      <xdr:nvPicPr>
        <xdr:cNvPr id="4" name="Picture 3" descr="logo sans fond">
          <a:extLst>
            <a:ext uri="{FF2B5EF4-FFF2-40B4-BE49-F238E27FC236}">
              <a16:creationId xmlns:a16="http://schemas.microsoft.com/office/drawing/2014/main" id="{9BB0F4A4-D193-46F7-B4B0-23AE0493ABB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43" y="326571"/>
          <a:ext cx="1027039" cy="62761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497275</xdr:colOff>
      <xdr:row>2</xdr:row>
      <xdr:rowOff>54429</xdr:rowOff>
    </xdr:from>
    <xdr:to>
      <xdr:col>15</xdr:col>
      <xdr:colOff>211382</xdr:colOff>
      <xdr:row>5</xdr:row>
      <xdr:rowOff>181079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064E8F0-1353-48F5-88D3-64403492E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03275" y="417286"/>
          <a:ext cx="1238107" cy="670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10041</xdr:rowOff>
    </xdr:from>
    <xdr:to>
      <xdr:col>0</xdr:col>
      <xdr:colOff>746126</xdr:colOff>
      <xdr:row>3</xdr:row>
      <xdr:rowOff>182563</xdr:rowOff>
    </xdr:to>
    <xdr:pic>
      <xdr:nvPicPr>
        <xdr:cNvPr id="7" name="Picture 3" descr="logo sans fond">
          <a:extLst>
            <a:ext uri="{FF2B5EF4-FFF2-40B4-BE49-F238E27FC236}">
              <a16:creationId xmlns:a16="http://schemas.microsoft.com/office/drawing/2014/main" id="{F405842D-D8D5-447A-9492-0BDA30C1B1B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0916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182270</xdr:colOff>
      <xdr:row>2</xdr:row>
      <xdr:rowOff>0</xdr:rowOff>
    </xdr:from>
    <xdr:to>
      <xdr:col>4</xdr:col>
      <xdr:colOff>1094727</xdr:colOff>
      <xdr:row>4</xdr:row>
      <xdr:rowOff>15875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E40EB0F3-9A00-4DB8-B6F5-D27E2DA96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650875"/>
          <a:ext cx="912457" cy="492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108480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577116DC-53BB-491A-82AE-19941CB2644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319853</xdr:colOff>
      <xdr:row>0</xdr:row>
      <xdr:rowOff>0</xdr:rowOff>
    </xdr:from>
    <xdr:to>
      <xdr:col>5</xdr:col>
      <xdr:colOff>1232310</xdr:colOff>
      <xdr:row>1</xdr:row>
      <xdr:rowOff>132292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5E56FF5-FFCB-45B0-A948-5E7D41C36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B451EA9F-A788-4D9F-9D16-D00877DC528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334670</xdr:colOff>
      <xdr:row>0</xdr:row>
      <xdr:rowOff>0</xdr:rowOff>
    </xdr:from>
    <xdr:to>
      <xdr:col>5</xdr:col>
      <xdr:colOff>485127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700CB5E-9F61-40AE-9641-5B6B3A7C8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D7773D8B-F088-4110-AB0E-FE943C14C08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309270</xdr:colOff>
      <xdr:row>0</xdr:row>
      <xdr:rowOff>0</xdr:rowOff>
    </xdr:from>
    <xdr:to>
      <xdr:col>5</xdr:col>
      <xdr:colOff>1221727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B392C7-1BBE-47F3-A950-426757CAA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10041</xdr:rowOff>
    </xdr:from>
    <xdr:to>
      <xdr:col>0</xdr:col>
      <xdr:colOff>746126</xdr:colOff>
      <xdr:row>1</xdr:row>
      <xdr:rowOff>106363</xdr:rowOff>
    </xdr:to>
    <xdr:pic>
      <xdr:nvPicPr>
        <xdr:cNvPr id="2" name="Picture 3" descr="logo sans fond">
          <a:extLst>
            <a:ext uri="{FF2B5EF4-FFF2-40B4-BE49-F238E27FC236}">
              <a16:creationId xmlns:a16="http://schemas.microsoft.com/office/drawing/2014/main" id="{93919035-D5B2-4F6E-9D51-86AB6D27C3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41"/>
          <a:ext cx="746126" cy="45827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25400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5</xdr:col>
      <xdr:colOff>531520</xdr:colOff>
      <xdr:row>0</xdr:row>
      <xdr:rowOff>0</xdr:rowOff>
    </xdr:from>
    <xdr:to>
      <xdr:col>5</xdr:col>
      <xdr:colOff>1443977</xdr:colOff>
      <xdr:row>1</xdr:row>
      <xdr:rowOff>130175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C299350-443A-4C01-A80F-D60F3068B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1520" y="0"/>
          <a:ext cx="912457" cy="492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://www.services.eaufrance.fr/indicateurs/dc.196/a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C782A-BA4F-45A1-97E7-D7E8F23A1E6F}">
  <sheetPr codeName="Feuil1">
    <tabColor rgb="FFFFC000"/>
  </sheetPr>
  <dimension ref="A1:R3"/>
  <sheetViews>
    <sheetView topLeftCell="A24" zoomScale="70" zoomScaleNormal="70" workbookViewId="0">
      <selection activeCell="F57" sqref="F57"/>
    </sheetView>
  </sheetViews>
  <sheetFormatPr baseColWidth="10" defaultRowHeight="14.4"/>
  <sheetData>
    <row r="1" spans="1:18">
      <c r="A1" t="s">
        <v>472</v>
      </c>
      <c r="R1" t="s">
        <v>223</v>
      </c>
    </row>
    <row r="2" spans="1:18">
      <c r="R2" t="s">
        <v>224</v>
      </c>
    </row>
    <row r="3" spans="1:18">
      <c r="R3" t="s">
        <v>250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FB7C3-4CB4-49F6-AAFE-21B92A401260}">
  <sheetPr codeName="Feuil2"/>
  <dimension ref="A1:J17"/>
  <sheetViews>
    <sheetView zoomScale="80" zoomScaleNormal="80" workbookViewId="0">
      <selection activeCell="D7" sqref="D7"/>
    </sheetView>
  </sheetViews>
  <sheetFormatPr baseColWidth="10" defaultColWidth="11.5546875" defaultRowHeight="14.4"/>
  <cols>
    <col min="1" max="1" width="12.77734375" style="1" customWidth="1"/>
    <col min="2" max="2" width="12.33203125" style="1" customWidth="1"/>
    <col min="3" max="3" width="29.33203125" style="1" customWidth="1"/>
    <col min="4" max="4" width="23.21875" style="1" customWidth="1"/>
    <col min="5" max="5" width="16.33203125" style="1" customWidth="1"/>
    <col min="6" max="6" width="24.33203125" style="1" customWidth="1"/>
    <col min="7" max="7" width="44.6640625" style="1" customWidth="1"/>
    <col min="8" max="8" width="13" style="84" customWidth="1"/>
    <col min="9" max="9" width="44.77734375" style="1" customWidth="1"/>
    <col min="10" max="10" width="12.6640625" style="1" customWidth="1"/>
    <col min="11" max="16384" width="11.5546875" style="1"/>
  </cols>
  <sheetData>
    <row r="1" spans="1:10" ht="36.6" customHeight="1" thickBot="1">
      <c r="A1" s="187" t="s">
        <v>448</v>
      </c>
      <c r="B1" s="211"/>
      <c r="C1" s="187" t="s">
        <v>208</v>
      </c>
      <c r="D1" s="211">
        <v>2024</v>
      </c>
    </row>
    <row r="2" spans="1:10" ht="15" thickBot="1"/>
    <row r="3" spans="1:10" ht="22.5" customHeight="1">
      <c r="B3" s="188" t="s">
        <v>108</v>
      </c>
      <c r="C3" s="89"/>
      <c r="D3" s="89"/>
      <c r="G3" s="84"/>
    </row>
    <row r="4" spans="1:10" ht="15" thickBot="1"/>
    <row r="5" spans="1:10" ht="29.4" thickBot="1">
      <c r="A5" s="91" t="s">
        <v>159</v>
      </c>
      <c r="B5" s="92" t="s">
        <v>0</v>
      </c>
      <c r="C5" s="92" t="s">
        <v>1</v>
      </c>
      <c r="D5" s="92" t="s">
        <v>101</v>
      </c>
      <c r="E5" s="93" t="s">
        <v>18</v>
      </c>
      <c r="F5" s="92" t="s">
        <v>3</v>
      </c>
      <c r="G5" s="92" t="s">
        <v>103</v>
      </c>
      <c r="H5" s="94" t="s">
        <v>102</v>
      </c>
    </row>
    <row r="6" spans="1:10" ht="56.4" customHeight="1">
      <c r="A6" s="28" t="s">
        <v>125</v>
      </c>
      <c r="B6" s="11" t="s">
        <v>255</v>
      </c>
      <c r="C6" s="73" t="s">
        <v>4</v>
      </c>
      <c r="D6" s="212"/>
      <c r="E6" s="46" t="s">
        <v>20</v>
      </c>
      <c r="F6" s="11" t="s">
        <v>207</v>
      </c>
      <c r="G6" s="212"/>
      <c r="H6" s="85"/>
    </row>
    <row r="7" spans="1:10" ht="51" customHeight="1">
      <c r="A7" s="28" t="s">
        <v>125</v>
      </c>
      <c r="B7" s="47" t="s">
        <v>256</v>
      </c>
      <c r="C7" s="48" t="s">
        <v>339</v>
      </c>
      <c r="D7" s="212"/>
      <c r="E7" s="46" t="s">
        <v>20</v>
      </c>
      <c r="F7" s="47" t="s">
        <v>5</v>
      </c>
      <c r="G7" s="212"/>
      <c r="H7" s="86" t="str">
        <f>IF(D7&gt;D6,"attention, le nombre d'installations contrôlées est supérieur au nombre d'installations","")</f>
        <v/>
      </c>
    </row>
    <row r="8" spans="1:10" ht="69.599999999999994" customHeight="1">
      <c r="A8" s="28" t="s">
        <v>125</v>
      </c>
      <c r="B8" s="47" t="s">
        <v>257</v>
      </c>
      <c r="C8" s="48" t="s">
        <v>211</v>
      </c>
      <c r="D8" s="212"/>
      <c r="E8" s="46" t="s">
        <v>20</v>
      </c>
      <c r="F8" s="47" t="s">
        <v>260</v>
      </c>
      <c r="G8" s="212"/>
      <c r="H8" s="86"/>
    </row>
    <row r="9" spans="1:10" ht="51" customHeight="1">
      <c r="A9" s="28" t="s">
        <v>125</v>
      </c>
      <c r="B9" s="47" t="s">
        <v>258</v>
      </c>
      <c r="C9" s="48" t="s">
        <v>187</v>
      </c>
      <c r="D9" s="212"/>
      <c r="E9" s="46" t="s">
        <v>20</v>
      </c>
      <c r="F9" s="47"/>
      <c r="G9" s="212"/>
      <c r="H9" s="86"/>
    </row>
    <row r="10" spans="1:10" ht="129.6">
      <c r="A10" s="28" t="s">
        <v>125</v>
      </c>
      <c r="B10" s="47" t="s">
        <v>259</v>
      </c>
      <c r="C10" s="48" t="s">
        <v>188</v>
      </c>
      <c r="D10" s="212"/>
      <c r="E10" s="46" t="s">
        <v>20</v>
      </c>
      <c r="F10" s="47" t="s">
        <v>369</v>
      </c>
      <c r="G10" s="212"/>
      <c r="H10" s="86"/>
    </row>
    <row r="11" spans="1:10" ht="70.8" customHeight="1">
      <c r="A11" s="63" t="s">
        <v>153</v>
      </c>
      <c r="B11" s="47" t="s">
        <v>340</v>
      </c>
      <c r="C11" s="48" t="s">
        <v>181</v>
      </c>
      <c r="D11" s="121" t="str">
        <f>IFERROR((D7-D10)/D6,"")</f>
        <v/>
      </c>
      <c r="E11" s="95" t="s">
        <v>6</v>
      </c>
      <c r="F11" s="47" t="s">
        <v>262</v>
      </c>
      <c r="G11" s="212"/>
      <c r="H11" s="86"/>
    </row>
    <row r="12" spans="1:10" ht="64.8" customHeight="1">
      <c r="A12" s="63" t="s">
        <v>126</v>
      </c>
      <c r="B12" s="47" t="s">
        <v>7</v>
      </c>
      <c r="C12" s="48" t="s">
        <v>8</v>
      </c>
      <c r="D12" s="213"/>
      <c r="E12" s="95" t="s">
        <v>208</v>
      </c>
      <c r="F12" s="47" t="s">
        <v>9</v>
      </c>
      <c r="G12" s="212"/>
      <c r="H12" s="86"/>
    </row>
    <row r="13" spans="1:10" ht="57.45" customHeight="1">
      <c r="A13" s="63" t="s">
        <v>126</v>
      </c>
      <c r="B13" s="47" t="s">
        <v>10</v>
      </c>
      <c r="C13" s="48" t="s">
        <v>11</v>
      </c>
      <c r="D13" s="213"/>
      <c r="E13" s="95" t="s">
        <v>182</v>
      </c>
      <c r="F13" s="47"/>
      <c r="G13" s="212"/>
      <c r="H13" s="86"/>
      <c r="I13" s="45"/>
      <c r="J13" s="31"/>
    </row>
    <row r="14" spans="1:10" ht="55.2" customHeight="1">
      <c r="A14" s="63" t="s">
        <v>153</v>
      </c>
      <c r="B14" s="47" t="s">
        <v>355</v>
      </c>
      <c r="C14" s="48" t="s">
        <v>12</v>
      </c>
      <c r="D14" s="119" t="str">
        <f>IFERROR(D6/D13,"")</f>
        <v/>
      </c>
      <c r="E14" s="95" t="s">
        <v>183</v>
      </c>
      <c r="F14" s="60" t="s">
        <v>215</v>
      </c>
      <c r="G14" s="212"/>
      <c r="H14" s="86"/>
      <c r="I14" s="45"/>
    </row>
    <row r="15" spans="1:10" ht="36" customHeight="1">
      <c r="A15" s="63" t="s">
        <v>126</v>
      </c>
      <c r="B15" s="47" t="s">
        <v>13</v>
      </c>
      <c r="C15" s="48" t="s">
        <v>14</v>
      </c>
      <c r="D15" s="213"/>
      <c r="E15" s="207" t="s">
        <v>15</v>
      </c>
      <c r="F15" s="75" t="s">
        <v>212</v>
      </c>
      <c r="G15" s="212"/>
      <c r="H15" s="86"/>
    </row>
    <row r="16" spans="1:10" ht="43.2">
      <c r="A16" s="206" t="s">
        <v>126</v>
      </c>
      <c r="B16" s="47" t="s">
        <v>16</v>
      </c>
      <c r="C16" s="48" t="s">
        <v>104</v>
      </c>
      <c r="D16" s="214"/>
      <c r="E16" s="46" t="s">
        <v>20</v>
      </c>
      <c r="F16" s="16"/>
      <c r="G16" s="212"/>
      <c r="H16" s="88" t="str">
        <f>IF(D16&gt;D6,"attention, le nombre d'installation est supérieur au nombre d'installation","")</f>
        <v/>
      </c>
    </row>
    <row r="17" spans="1:8" ht="29.4" thickBot="1">
      <c r="A17" s="3" t="s">
        <v>153</v>
      </c>
      <c r="B17" s="14" t="s">
        <v>354</v>
      </c>
      <c r="C17" s="58" t="s">
        <v>17</v>
      </c>
      <c r="D17" s="120" t="str">
        <f>IFERROR(D16/D6,"")</f>
        <v/>
      </c>
      <c r="E17" s="208" t="s">
        <v>6</v>
      </c>
      <c r="F17" s="209" t="s">
        <v>261</v>
      </c>
      <c r="G17" s="212"/>
      <c r="H17" s="87"/>
    </row>
  </sheetData>
  <sheetProtection algorithmName="SHA-512" hashValue="seDaSkQCAxwfcD1clwLCAEdtemIVA4VEo3I7sCm38EkEssmfXiDAZYTiQlgM80yPgtLE5xS+rFABFdbZbN3Dew==" saltValue="Nx7dDjwbSyOikCMoTPqnaA==" spinCount="100000" sheet="1" formatCells="0" formatColumns="0" formatRows="0" insertHyperlinks="0" sort="0"/>
  <dataValidations count="1">
    <dataValidation type="whole" allowBlank="1" showInputMessage="1" showErrorMessage="1" sqref="D12" xr:uid="{542C0D9A-9504-4453-8338-0D1DB82374B7}">
      <formula1>1980</formula1>
      <formula2>2020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698B7B-B318-435A-A588-CAFC8FB5DB5A}">
          <x14:formula1>
            <xm:f>Notice!$R$1:$R$2</xm:f>
          </x14:formula1>
          <xm:sqref>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CDF10-F59D-4A37-9E04-FD76A0CAB57E}">
  <sheetPr codeName="Feuil4"/>
  <dimension ref="A1:M47"/>
  <sheetViews>
    <sheetView topLeftCell="A39" zoomScale="90" zoomScaleNormal="90" workbookViewId="0">
      <selection activeCell="D43" sqref="D43"/>
    </sheetView>
  </sheetViews>
  <sheetFormatPr baseColWidth="10" defaultRowHeight="14.4"/>
  <cols>
    <col min="1" max="1" width="13.109375" customWidth="1"/>
    <col min="3" max="3" width="21.77734375" customWidth="1"/>
    <col min="4" max="4" width="19" customWidth="1"/>
    <col min="6" max="6" width="26.33203125" customWidth="1"/>
    <col min="7" max="7" width="24.88671875" style="15" customWidth="1"/>
    <col min="9" max="9" width="11.5546875" hidden="1" customWidth="1"/>
    <col min="10" max="10" width="55.88671875" customWidth="1"/>
    <col min="11" max="11" width="0" hidden="1" customWidth="1"/>
  </cols>
  <sheetData>
    <row r="1" spans="1:10" ht="28.5" customHeight="1">
      <c r="B1" s="97" t="s">
        <v>109</v>
      </c>
      <c r="C1" s="98"/>
      <c r="D1" s="98"/>
    </row>
    <row r="2" spans="1:10" ht="15" thickBot="1">
      <c r="B2" s="248"/>
      <c r="I2" s="267" t="s">
        <v>111</v>
      </c>
    </row>
    <row r="3" spans="1:10" s="150" customFormat="1" ht="29.4" thickBot="1">
      <c r="A3" s="249" t="s">
        <v>159</v>
      </c>
      <c r="B3" s="250" t="s">
        <v>0</v>
      </c>
      <c r="C3" s="149" t="s">
        <v>1</v>
      </c>
      <c r="D3" s="149" t="s">
        <v>101</v>
      </c>
      <c r="E3" s="149" t="s">
        <v>18</v>
      </c>
      <c r="F3" s="149" t="s">
        <v>3</v>
      </c>
      <c r="G3" s="149" t="s">
        <v>103</v>
      </c>
      <c r="H3" s="268" t="s">
        <v>102</v>
      </c>
    </row>
    <row r="4" spans="1:10" ht="15" customHeight="1" thickBot="1">
      <c r="A4" s="251"/>
      <c r="B4" s="152" t="s">
        <v>112</v>
      </c>
      <c r="C4" s="152"/>
      <c r="D4" s="151"/>
      <c r="E4" s="151"/>
      <c r="F4" s="151"/>
      <c r="G4" s="151"/>
      <c r="H4" s="269"/>
    </row>
    <row r="5" spans="1:10" ht="72.599999999999994" thickBot="1">
      <c r="A5" s="36" t="s">
        <v>125</v>
      </c>
      <c r="B5" s="35" t="s">
        <v>36</v>
      </c>
      <c r="C5" s="53" t="s">
        <v>37</v>
      </c>
      <c r="D5" s="215"/>
      <c r="E5" s="195" t="s">
        <v>311</v>
      </c>
      <c r="F5" s="270" t="s">
        <v>317</v>
      </c>
      <c r="G5" s="215"/>
      <c r="H5" s="80"/>
    </row>
    <row r="6" spans="1:10" ht="72.599999999999994" thickBot="1">
      <c r="A6" s="70" t="s">
        <v>126</v>
      </c>
      <c r="B6" s="67" t="s">
        <v>38</v>
      </c>
      <c r="C6" s="53" t="s">
        <v>196</v>
      </c>
      <c r="D6" s="292"/>
      <c r="E6" s="57" t="s">
        <v>312</v>
      </c>
      <c r="F6" s="270" t="s">
        <v>189</v>
      </c>
      <c r="G6" s="213"/>
      <c r="H6" s="271" t="str">
        <f>IF(D6&gt;('activité de contrôle'!D5-'activité de contrôle'!D6),"attention, le nombre de contrôle hors vente respectant le délai est supérieur au nombre de contrôles hors vente","")</f>
        <v/>
      </c>
    </row>
    <row r="7" spans="1:10" ht="51" customHeight="1" thickBot="1">
      <c r="A7" s="70" t="s">
        <v>153</v>
      </c>
      <c r="B7" s="67" t="s">
        <v>293</v>
      </c>
      <c r="C7" s="53" t="s">
        <v>39</v>
      </c>
      <c r="D7" s="121" t="str">
        <f>IFERROR(D6/('activité de contrôle'!D5-'activité de contrôle'!D6),"")</f>
        <v/>
      </c>
      <c r="E7" s="57" t="s">
        <v>6</v>
      </c>
      <c r="F7" s="47" t="s">
        <v>186</v>
      </c>
      <c r="G7" s="213"/>
      <c r="H7" s="81"/>
      <c r="J7" s="272"/>
    </row>
    <row r="8" spans="1:10" ht="85.5" customHeight="1" thickBot="1">
      <c r="A8" s="78" t="s">
        <v>125</v>
      </c>
      <c r="B8" s="67" t="s">
        <v>40</v>
      </c>
      <c r="C8" s="53" t="s">
        <v>197</v>
      </c>
      <c r="D8" s="213"/>
      <c r="E8" s="57" t="s">
        <v>311</v>
      </c>
      <c r="F8" s="75" t="s">
        <v>318</v>
      </c>
      <c r="G8" s="213"/>
      <c r="H8" s="81"/>
      <c r="J8" s="4"/>
    </row>
    <row r="9" spans="1:10" ht="43.8" thickBot="1">
      <c r="A9" s="79" t="s">
        <v>126</v>
      </c>
      <c r="B9" s="67" t="s">
        <v>41</v>
      </c>
      <c r="C9" s="53" t="s">
        <v>42</v>
      </c>
      <c r="D9" s="214"/>
      <c r="E9" s="57" t="s">
        <v>312</v>
      </c>
      <c r="F9" s="57" t="s">
        <v>446</v>
      </c>
      <c r="G9" s="213"/>
      <c r="H9" s="271" t="str">
        <f>IF(D9&gt;('activité de contrôle'!D21),"Attention, le nombre de rapports envoyés dans les délais est supérieur au nombre de contrôles effectués","")</f>
        <v/>
      </c>
    </row>
    <row r="10" spans="1:10" ht="29.4" thickBot="1">
      <c r="A10" s="78" t="s">
        <v>153</v>
      </c>
      <c r="B10" s="67" t="s">
        <v>294</v>
      </c>
      <c r="C10" s="53" t="s">
        <v>43</v>
      </c>
      <c r="D10" s="121" t="str">
        <f>IFERROR(D9/('activité de contrôle'!D21),"")</f>
        <v/>
      </c>
      <c r="E10" s="57" t="s">
        <v>313</v>
      </c>
      <c r="F10" s="47" t="s">
        <v>244</v>
      </c>
      <c r="G10" s="213"/>
      <c r="H10" s="81"/>
    </row>
    <row r="11" spans="1:10" ht="87" thickBot="1">
      <c r="A11" s="78" t="s">
        <v>125</v>
      </c>
      <c r="B11" s="67" t="s">
        <v>44</v>
      </c>
      <c r="C11" s="53" t="s">
        <v>301</v>
      </c>
      <c r="D11" s="213"/>
      <c r="E11" s="57" t="s">
        <v>15</v>
      </c>
      <c r="F11" s="47"/>
      <c r="G11" s="213"/>
      <c r="H11" s="81"/>
      <c r="I11">
        <v>0</v>
      </c>
    </row>
    <row r="12" spans="1:10" ht="72.599999999999994" thickBot="1">
      <c r="A12" s="79" t="s">
        <v>125</v>
      </c>
      <c r="B12" s="67" t="s">
        <v>45</v>
      </c>
      <c r="C12" s="53" t="s">
        <v>46</v>
      </c>
      <c r="D12" s="214"/>
      <c r="E12" s="57" t="s">
        <v>47</v>
      </c>
      <c r="F12" s="47" t="s">
        <v>319</v>
      </c>
      <c r="G12" s="214"/>
      <c r="H12" s="271"/>
      <c r="I12">
        <v>10</v>
      </c>
    </row>
    <row r="13" spans="1:10" ht="86.4">
      <c r="A13" s="252" t="s">
        <v>125</v>
      </c>
      <c r="B13" s="10" t="s">
        <v>48</v>
      </c>
      <c r="C13" s="253" t="s">
        <v>465</v>
      </c>
      <c r="D13" s="223"/>
      <c r="E13" s="9" t="s">
        <v>15</v>
      </c>
      <c r="F13" s="60"/>
      <c r="G13" s="223"/>
      <c r="H13" s="273"/>
      <c r="I13">
        <v>30</v>
      </c>
    </row>
    <row r="14" spans="1:10" ht="43.8" thickBot="1">
      <c r="A14" s="252" t="s">
        <v>125</v>
      </c>
      <c r="B14" s="3" t="s">
        <v>385</v>
      </c>
      <c r="C14" s="58" t="s">
        <v>477</v>
      </c>
      <c r="D14" s="238"/>
      <c r="E14" s="17" t="s">
        <v>15</v>
      </c>
      <c r="F14" s="14"/>
      <c r="G14" s="218"/>
      <c r="H14" s="274"/>
    </row>
    <row r="15" spans="1:10" ht="54" hidden="1" customHeight="1">
      <c r="A15" s="27" t="s">
        <v>153</v>
      </c>
      <c r="B15" s="254" t="s">
        <v>406</v>
      </c>
      <c r="C15" s="255"/>
      <c r="D15" s="153" cm="1">
        <f t="array" ref="D15">_xlfn.IFS(AND(7&lt;=D5,D5&lt;15),5,D5&gt;=15,10,D5&lt;7,0)</f>
        <v>0</v>
      </c>
      <c r="E15" s="275"/>
      <c r="F15" s="56" t="s">
        <v>198</v>
      </c>
      <c r="G15" s="219"/>
      <c r="H15" s="276"/>
    </row>
    <row r="16" spans="1:10" ht="28.8" hidden="1" customHeight="1">
      <c r="A16" s="256"/>
      <c r="B16" s="37" t="s">
        <v>407</v>
      </c>
      <c r="C16" s="38"/>
      <c r="D16" s="154">
        <f>IF(D7="",0,IF(D7&gt;=0.8,10,0))</f>
        <v>0</v>
      </c>
      <c r="E16" s="277"/>
      <c r="F16" s="47" t="s">
        <v>316</v>
      </c>
      <c r="G16" s="214"/>
      <c r="H16" s="271"/>
    </row>
    <row r="17" spans="1:11" hidden="1">
      <c r="A17" s="256"/>
      <c r="B17" s="37" t="s">
        <v>408</v>
      </c>
      <c r="C17" s="38"/>
      <c r="D17" s="154">
        <f>IF(D10="",0,IF(D10&gt;=0.8,10,0))</f>
        <v>0</v>
      </c>
      <c r="E17" s="277"/>
      <c r="F17" s="47" t="s">
        <v>315</v>
      </c>
      <c r="G17" s="214"/>
      <c r="H17" s="271"/>
    </row>
    <row r="18" spans="1:11" ht="28.8" hidden="1" customHeight="1">
      <c r="A18" s="256"/>
      <c r="B18" s="37" t="s">
        <v>409</v>
      </c>
      <c r="C18" s="38"/>
      <c r="D18" s="154">
        <f>IF(D11="oui",15,0)</f>
        <v>0</v>
      </c>
      <c r="E18" s="277"/>
      <c r="F18" s="47" t="s">
        <v>366</v>
      </c>
      <c r="G18" s="214"/>
      <c r="H18" s="271"/>
    </row>
    <row r="19" spans="1:11" ht="28.8" hidden="1" customHeight="1">
      <c r="A19" s="256"/>
      <c r="B19" s="37" t="s">
        <v>410</v>
      </c>
      <c r="C19" s="38"/>
      <c r="D19" s="154" t="str" cm="1">
        <f t="array" ref="D19">_xlfn.IFS(D12="Journée",0,D12="Demi-journée",10,D12="plage horaire limitée",20,D12="Créneau à heure fixe",30,D12="","")</f>
        <v/>
      </c>
      <c r="E19" s="277"/>
      <c r="F19" s="47" t="s">
        <v>368</v>
      </c>
      <c r="G19" s="214"/>
      <c r="H19" s="271"/>
    </row>
    <row r="20" spans="1:11" ht="15" hidden="1" thickBot="1">
      <c r="A20" s="256"/>
      <c r="B20" s="257" t="s">
        <v>411</v>
      </c>
      <c r="C20" s="39"/>
      <c r="D20" s="154">
        <f>IF(D13="oui",15,0)</f>
        <v>0</v>
      </c>
      <c r="E20" s="277"/>
      <c r="F20" s="47" t="s">
        <v>367</v>
      </c>
      <c r="G20" s="214"/>
      <c r="H20" s="271"/>
    </row>
    <row r="21" spans="1:11" ht="15" hidden="1" thickBot="1">
      <c r="A21" s="258"/>
      <c r="B21" s="259" t="s">
        <v>412</v>
      </c>
      <c r="C21" s="260"/>
      <c r="D21" s="154">
        <f>IF(D14="oui",10,0)</f>
        <v>0</v>
      </c>
      <c r="E21" s="277"/>
      <c r="F21" s="60" t="s">
        <v>405</v>
      </c>
      <c r="G21" s="222"/>
      <c r="H21" s="65"/>
    </row>
    <row r="22" spans="1:11" ht="29.4" thickBot="1">
      <c r="A22" s="261"/>
      <c r="B22" s="262" t="s">
        <v>295</v>
      </c>
      <c r="C22" s="53" t="s">
        <v>49</v>
      </c>
      <c r="D22" s="155">
        <f>SUM(D15:D21)</f>
        <v>0</v>
      </c>
      <c r="E22" s="278"/>
      <c r="F22" s="58" t="s">
        <v>447</v>
      </c>
      <c r="G22" s="229"/>
      <c r="H22" s="279"/>
    </row>
    <row r="23" spans="1:11" ht="43.8" thickBot="1">
      <c r="A23" s="263" t="s">
        <v>125</v>
      </c>
      <c r="B23" s="28" t="s">
        <v>50</v>
      </c>
      <c r="C23" s="53" t="s">
        <v>302</v>
      </c>
      <c r="D23" s="216"/>
      <c r="E23" s="16" t="s">
        <v>15</v>
      </c>
      <c r="F23" s="11" t="s">
        <v>51</v>
      </c>
      <c r="G23" s="216"/>
      <c r="H23" s="82"/>
      <c r="I23">
        <f>IF(D23="oui",10,0)</f>
        <v>0</v>
      </c>
    </row>
    <row r="24" spans="1:11" ht="43.8" thickBot="1">
      <c r="A24" s="79" t="s">
        <v>125</v>
      </c>
      <c r="B24" s="63" t="s">
        <v>52</v>
      </c>
      <c r="C24" s="53" t="s">
        <v>53</v>
      </c>
      <c r="D24" s="214"/>
      <c r="E24" s="57" t="s">
        <v>15</v>
      </c>
      <c r="F24" s="47" t="s">
        <v>51</v>
      </c>
      <c r="G24" s="213"/>
      <c r="H24" s="65"/>
      <c r="I24">
        <f>IF(D24="oui",10,0)</f>
        <v>0</v>
      </c>
    </row>
    <row r="25" spans="1:11" ht="43.8" thickBot="1">
      <c r="A25" s="79" t="s">
        <v>125</v>
      </c>
      <c r="B25" s="63" t="s">
        <v>54</v>
      </c>
      <c r="C25" s="53" t="s">
        <v>122</v>
      </c>
      <c r="D25" s="214"/>
      <c r="E25" s="57" t="s">
        <v>15</v>
      </c>
      <c r="F25" s="47" t="s">
        <v>51</v>
      </c>
      <c r="G25" s="213"/>
      <c r="H25" s="65"/>
      <c r="I25">
        <f>IF(D25="oui",10,0)</f>
        <v>0</v>
      </c>
    </row>
    <row r="26" spans="1:11" ht="58.2" thickBot="1">
      <c r="A26" s="79" t="s">
        <v>125</v>
      </c>
      <c r="B26" s="63" t="s">
        <v>55</v>
      </c>
      <c r="C26" s="53" t="s">
        <v>56</v>
      </c>
      <c r="D26" s="214"/>
      <c r="E26" s="57" t="s">
        <v>314</v>
      </c>
      <c r="F26" s="47" t="s">
        <v>160</v>
      </c>
      <c r="G26" s="213"/>
      <c r="H26" s="65"/>
      <c r="I26" cm="1">
        <f t="array" ref="I26">_xlfn.IFS(D26=0,0,D26&gt;=4,20,D26&lt;1,5,AND(D26&lt;4,D26&gt;=1),10)</f>
        <v>0</v>
      </c>
    </row>
    <row r="27" spans="1:11" ht="87" thickBot="1">
      <c r="A27" s="79" t="s">
        <v>125</v>
      </c>
      <c r="B27" s="63" t="s">
        <v>57</v>
      </c>
      <c r="C27" s="53" t="s">
        <v>118</v>
      </c>
      <c r="D27" s="213"/>
      <c r="E27" s="57" t="s">
        <v>314</v>
      </c>
      <c r="F27" s="47" t="s">
        <v>415</v>
      </c>
      <c r="G27" s="213"/>
      <c r="H27" s="81"/>
      <c r="I27" t="str" cm="1">
        <f t="array" ref="I27">IFERROR(_xlfn.IFS(D27=1,15,D27=2,10,D27=3,5),"")</f>
        <v/>
      </c>
      <c r="K27">
        <v>1</v>
      </c>
    </row>
    <row r="28" spans="1:11" hidden="1">
      <c r="A28" s="79" t="s">
        <v>153</v>
      </c>
      <c r="B28" s="37" t="s">
        <v>416</v>
      </c>
      <c r="C28" s="38"/>
      <c r="D28" s="242">
        <f>IF(D23="oui",10,0)</f>
        <v>0</v>
      </c>
      <c r="E28" s="9"/>
      <c r="F28" s="60"/>
      <c r="G28" s="223"/>
      <c r="H28" s="273"/>
    </row>
    <row r="29" spans="1:11" hidden="1">
      <c r="A29" s="79" t="s">
        <v>153</v>
      </c>
      <c r="B29" s="37" t="s">
        <v>417</v>
      </c>
      <c r="C29" s="38"/>
      <c r="D29" s="242">
        <f t="shared" ref="D29:D30" si="0">IF(D24="oui",10,0)</f>
        <v>0</v>
      </c>
      <c r="E29" s="9"/>
      <c r="F29" s="60"/>
      <c r="G29" s="223"/>
      <c r="H29" s="273"/>
    </row>
    <row r="30" spans="1:11" ht="15" hidden="1" thickBot="1">
      <c r="A30" s="79" t="s">
        <v>153</v>
      </c>
      <c r="B30" s="257" t="s">
        <v>418</v>
      </c>
      <c r="C30" s="39"/>
      <c r="D30" s="242">
        <f t="shared" si="0"/>
        <v>0</v>
      </c>
      <c r="E30" s="9"/>
      <c r="F30" s="60"/>
      <c r="G30" s="223"/>
      <c r="H30" s="273"/>
    </row>
    <row r="31" spans="1:11" hidden="1">
      <c r="A31" s="79" t="s">
        <v>153</v>
      </c>
      <c r="B31" s="37" t="s">
        <v>413</v>
      </c>
      <c r="C31" s="38"/>
      <c r="D31" s="242" t="e" cm="1">
        <f t="array" ref="D31">_xlfn.IFS(D26="moins d'une journée par semaine",5,D26="4-5 jours par semaine",20,D26="pas d'accueil physique",0,D26="1 à 3 jours par semaine",10)</f>
        <v>#N/A</v>
      </c>
      <c r="E31" s="9"/>
      <c r="F31" s="60"/>
      <c r="G31" s="223"/>
      <c r="H31" s="273"/>
    </row>
    <row r="32" spans="1:11" ht="15" hidden="1" thickBot="1">
      <c r="A32" s="79" t="s">
        <v>153</v>
      </c>
      <c r="B32" s="257" t="s">
        <v>414</v>
      </c>
      <c r="C32" s="39"/>
      <c r="D32" s="242" t="e" cm="1">
        <f t="array" ref="D32">_xlfn.IFS(D27="5 jours par semaine",15,D27="3 à 4 jours par semaine sur journée entière",10,D27="demi-journées ponctuelles",5)</f>
        <v>#N/A</v>
      </c>
      <c r="E32" s="9"/>
      <c r="F32" s="60"/>
      <c r="G32" s="223"/>
      <c r="H32" s="273"/>
    </row>
    <row r="33" spans="1:13" ht="43.8" thickBot="1">
      <c r="A33" s="79" t="s">
        <v>153</v>
      </c>
      <c r="B33" s="3" t="s">
        <v>296</v>
      </c>
      <c r="C33" s="53" t="s">
        <v>199</v>
      </c>
      <c r="D33" s="120" t="str">
        <f>IFERROR(SUM(D28:D32),"")</f>
        <v/>
      </c>
      <c r="E33" s="17" t="s">
        <v>119</v>
      </c>
      <c r="F33" s="14" t="s">
        <v>161</v>
      </c>
      <c r="G33" s="218"/>
      <c r="H33" s="274"/>
      <c r="K33">
        <v>2</v>
      </c>
    </row>
    <row r="34" spans="1:13" ht="58.2" thickBot="1">
      <c r="A34" s="79" t="s">
        <v>125</v>
      </c>
      <c r="B34" s="72" t="s">
        <v>58</v>
      </c>
      <c r="C34" s="53" t="s">
        <v>245</v>
      </c>
      <c r="D34" s="228"/>
      <c r="E34" s="16" t="s">
        <v>20</v>
      </c>
      <c r="F34" s="11" t="s">
        <v>246</v>
      </c>
      <c r="G34" s="216"/>
      <c r="H34" s="66"/>
      <c r="K34">
        <v>3</v>
      </c>
    </row>
    <row r="35" spans="1:13" ht="29.4" thickBot="1">
      <c r="A35" s="189" t="s">
        <v>153</v>
      </c>
      <c r="B35" s="10" t="s">
        <v>297</v>
      </c>
      <c r="C35" s="53" t="s">
        <v>59</v>
      </c>
      <c r="D35" s="158" t="str">
        <f>IFERROR(D34*1000/Contexte!D6,"")</f>
        <v/>
      </c>
      <c r="E35" s="9" t="s">
        <v>163</v>
      </c>
      <c r="F35" s="60" t="s">
        <v>162</v>
      </c>
      <c r="G35" s="223"/>
      <c r="H35" s="273"/>
      <c r="J35" s="280"/>
      <c r="K35" s="18"/>
      <c r="L35" s="18"/>
      <c r="M35" s="18"/>
    </row>
    <row r="36" spans="1:13" ht="15" customHeight="1" thickBot="1">
      <c r="A36" s="251"/>
      <c r="B36" s="160" t="s">
        <v>60</v>
      </c>
      <c r="C36" s="160"/>
      <c r="D36" s="159"/>
      <c r="E36" s="159"/>
      <c r="F36" s="159"/>
      <c r="G36" s="159"/>
      <c r="H36" s="281"/>
    </row>
    <row r="37" spans="1:13" ht="87" thickBot="1">
      <c r="A37" s="27" t="s">
        <v>125</v>
      </c>
      <c r="B37" s="68" t="s">
        <v>298</v>
      </c>
      <c r="C37" s="53" t="s">
        <v>364</v>
      </c>
      <c r="D37" s="227"/>
      <c r="E37" s="195" t="s">
        <v>15</v>
      </c>
      <c r="F37" s="56"/>
      <c r="G37" s="215"/>
      <c r="H37" s="282"/>
      <c r="J37" s="283"/>
      <c r="K37" s="18"/>
      <c r="L37" s="18"/>
      <c r="M37" s="18"/>
    </row>
    <row r="38" spans="1:13" ht="84" customHeight="1" thickBot="1">
      <c r="A38" s="79" t="s">
        <v>126</v>
      </c>
      <c r="B38" s="63" t="s">
        <v>131</v>
      </c>
      <c r="C38" s="53" t="s">
        <v>303</v>
      </c>
      <c r="D38" s="225"/>
      <c r="E38" s="57" t="s">
        <v>20</v>
      </c>
      <c r="F38" s="47"/>
      <c r="G38" s="213"/>
      <c r="H38" s="81"/>
      <c r="J38" s="8"/>
      <c r="K38" s="18"/>
      <c r="L38" s="18"/>
      <c r="M38" s="18"/>
    </row>
    <row r="39" spans="1:13" ht="67.2" customHeight="1" thickBot="1">
      <c r="A39" s="189" t="s">
        <v>153</v>
      </c>
      <c r="B39" s="3" t="s">
        <v>132</v>
      </c>
      <c r="C39" s="53" t="s">
        <v>304</v>
      </c>
      <c r="D39" s="161" t="str">
        <f>IFERROR(D38/Contexte!D6,"")</f>
        <v/>
      </c>
      <c r="E39" s="17" t="s">
        <v>6</v>
      </c>
      <c r="F39" s="14" t="s">
        <v>133</v>
      </c>
      <c r="G39" s="218"/>
      <c r="H39" s="274"/>
      <c r="J39" s="284"/>
      <c r="M39" s="8"/>
    </row>
    <row r="40" spans="1:13" ht="72.599999999999994" thickBot="1">
      <c r="A40" s="27" t="str">
        <f>A37</f>
        <v>Obligatoire</v>
      </c>
      <c r="B40" s="68" t="s">
        <v>299</v>
      </c>
      <c r="C40" s="53" t="s">
        <v>365</v>
      </c>
      <c r="D40" s="226"/>
      <c r="E40" s="195" t="s">
        <v>15</v>
      </c>
      <c r="F40" s="56"/>
      <c r="G40" s="215"/>
      <c r="H40" s="80"/>
      <c r="J40" s="2"/>
    </row>
    <row r="41" spans="1:13" ht="43.8" thickBot="1">
      <c r="A41" s="79" t="s">
        <v>125</v>
      </c>
      <c r="B41" s="63" t="s">
        <v>134</v>
      </c>
      <c r="C41" s="53" t="s">
        <v>310</v>
      </c>
      <c r="D41" s="225"/>
      <c r="E41" s="57" t="s">
        <v>47</v>
      </c>
      <c r="F41" s="47"/>
      <c r="G41" s="213"/>
      <c r="H41" s="81"/>
    </row>
    <row r="42" spans="1:13" ht="103.8" customHeight="1" thickBot="1">
      <c r="A42" s="79" t="str">
        <f>A38</f>
        <v>Optionnel</v>
      </c>
      <c r="B42" s="63" t="s">
        <v>135</v>
      </c>
      <c r="C42" s="53" t="s">
        <v>305</v>
      </c>
      <c r="D42" s="225"/>
      <c r="E42" s="57" t="s">
        <v>20</v>
      </c>
      <c r="F42" s="47"/>
      <c r="G42" s="213"/>
      <c r="H42" s="81"/>
      <c r="I42" t="s">
        <v>166</v>
      </c>
    </row>
    <row r="43" spans="1:13" ht="103.8" customHeight="1" thickBot="1">
      <c r="A43" s="169" t="str">
        <f>A39</f>
        <v>Automatique</v>
      </c>
      <c r="B43" s="264" t="s">
        <v>164</v>
      </c>
      <c r="C43" s="53" t="s">
        <v>306</v>
      </c>
      <c r="D43" s="162" t="str">
        <f>IFERROR(D42/Contexte!D6,"")</f>
        <v/>
      </c>
      <c r="E43" s="9" t="s">
        <v>6</v>
      </c>
      <c r="F43" s="60" t="s">
        <v>136</v>
      </c>
      <c r="G43" s="223"/>
      <c r="H43" s="273"/>
      <c r="I43" t="s">
        <v>167</v>
      </c>
    </row>
    <row r="44" spans="1:13" ht="43.8" thickBot="1">
      <c r="A44" s="265" t="str">
        <f>A40</f>
        <v>Obligatoire</v>
      </c>
      <c r="B44" s="63" t="s">
        <v>300</v>
      </c>
      <c r="C44" s="53" t="s">
        <v>363</v>
      </c>
      <c r="D44" s="224"/>
      <c r="E44" s="57" t="s">
        <v>15</v>
      </c>
      <c r="F44" s="47" t="s">
        <v>386</v>
      </c>
      <c r="G44" s="213"/>
      <c r="H44" s="271"/>
      <c r="I44" t="s">
        <v>165</v>
      </c>
    </row>
    <row r="45" spans="1:13" ht="47.4" customHeight="1" thickBot="1">
      <c r="A45" s="265" t="s">
        <v>125</v>
      </c>
      <c r="B45" s="63" t="s">
        <v>137</v>
      </c>
      <c r="C45" s="53" t="s">
        <v>309</v>
      </c>
      <c r="D45" s="224"/>
      <c r="E45" s="57" t="s">
        <v>47</v>
      </c>
      <c r="F45" s="47"/>
      <c r="G45" s="213"/>
      <c r="H45" s="271"/>
      <c r="J45" s="2"/>
      <c r="L45" s="18"/>
    </row>
    <row r="46" spans="1:13" ht="61.8" customHeight="1" thickBot="1">
      <c r="A46" s="265" t="str">
        <f>+A42</f>
        <v>Optionnel</v>
      </c>
      <c r="B46" s="63" t="s">
        <v>138</v>
      </c>
      <c r="C46" s="53" t="s">
        <v>307</v>
      </c>
      <c r="D46" s="225"/>
      <c r="E46" s="57" t="s">
        <v>20</v>
      </c>
      <c r="F46" s="47"/>
      <c r="G46" s="213"/>
      <c r="H46" s="81"/>
    </row>
    <row r="47" spans="1:13" ht="42" customHeight="1" thickBot="1">
      <c r="A47" s="266" t="str">
        <f>+A43</f>
        <v>Automatique</v>
      </c>
      <c r="B47" s="3" t="s">
        <v>168</v>
      </c>
      <c r="C47" s="53" t="s">
        <v>308</v>
      </c>
      <c r="D47" s="161" t="str">
        <f>IFERROR(D46/Contexte!D6,"")</f>
        <v/>
      </c>
      <c r="E47" s="17" t="s">
        <v>6</v>
      </c>
      <c r="F47" s="14" t="s">
        <v>139</v>
      </c>
      <c r="G47" s="218"/>
      <c r="H47" s="274"/>
    </row>
  </sheetData>
  <sheetProtection algorithmName="SHA-512" hashValue="7u0SG5CC8lKFT/ah6pjawKMA7DUZUCi6AZF9qx2TPkSJ7496O6tKHR9Er8VKBECBm73oLhE+a8hQg9/nNc8S2g==" saltValue="ro7bhtVmQH4Pf3f84Hxiiw==" spinCount="100000" sheet="1" formatCells="0" formatColumns="0" formatRows="0"/>
  <dataValidations count="4">
    <dataValidation type="list" allowBlank="1" showInputMessage="1" showErrorMessage="1" sqref="D27" xr:uid="{7EC24DCD-76B8-4E85-B4E0-C8C1278408AA}">
      <formula1>"5 jours par semaine,3 à 4 jours par semaine sur journée entière,demi-journées ponctuelles"</formula1>
    </dataValidation>
    <dataValidation type="list" allowBlank="1" showInputMessage="1" showErrorMessage="1" sqref="D41 D45" xr:uid="{6E903812-68AE-43C0-9604-E6B7CB3F0EB7}">
      <formula1>$I$42:$I$44</formula1>
    </dataValidation>
    <dataValidation type="list" allowBlank="1" showInputMessage="1" showErrorMessage="1" sqref="D12" xr:uid="{FCD8798B-943F-40C7-AAE9-80B867A6052D}">
      <formula1>"Journée,Demi-journée,Plage horaire limitée,Créneau à heure fixe"</formula1>
    </dataValidation>
    <dataValidation type="list" allowBlank="1" showInputMessage="1" showErrorMessage="1" sqref="D26" xr:uid="{37E1E6DC-C59A-4E46-A37A-E6160B3891C7}">
      <formula1>"4-5 jours par semaine,moins d'une journée par semaine,1 à 3 jours par semaine,pas d'accueil physique"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3357E9-9A45-4436-AD93-C649CB88F473}">
          <x14:formula1>
            <xm:f>Notice!$R$1:$R$2</xm:f>
          </x14:formula1>
          <xm:sqref>D11 D13:D14 D23:D25 D37 D40 D44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921A7-9C87-4485-B144-C69211EE9F43}">
  <sheetPr codeName="Feuil3"/>
  <dimension ref="A1:L68"/>
  <sheetViews>
    <sheetView tabSelected="1" topLeftCell="A59" workbookViewId="0">
      <selection activeCell="F65" sqref="F65"/>
    </sheetView>
  </sheetViews>
  <sheetFormatPr baseColWidth="10" defaultRowHeight="14.4"/>
  <cols>
    <col min="1" max="1" width="14.109375" customWidth="1"/>
    <col min="3" max="3" width="35.6640625" customWidth="1"/>
    <col min="4" max="4" width="14.88671875" customWidth="1"/>
    <col min="6" max="6" width="35" customWidth="1"/>
    <col min="7" max="7" width="31.77734375" style="15" customWidth="1"/>
    <col min="8" max="8" width="14.33203125" customWidth="1"/>
    <col min="9" max="9" width="35.77734375" style="74" customWidth="1"/>
    <col min="10" max="10" width="17.44140625" hidden="1" customWidth="1"/>
    <col min="11" max="11" width="17.21875" style="18" customWidth="1"/>
  </cols>
  <sheetData>
    <row r="1" spans="1:12" ht="28.8">
      <c r="B1" s="97" t="s">
        <v>213</v>
      </c>
      <c r="C1" s="98"/>
      <c r="D1" s="98"/>
      <c r="E1" s="96"/>
      <c r="F1" s="96"/>
      <c r="G1" s="96"/>
      <c r="H1" s="96"/>
      <c r="K1"/>
    </row>
    <row r="2" spans="1:12" ht="15" thickBot="1"/>
    <row r="3" spans="1:12" ht="34.200000000000003" customHeight="1" thickBot="1">
      <c r="A3" s="99" t="s">
        <v>159</v>
      </c>
      <c r="B3" s="100" t="s">
        <v>0</v>
      </c>
      <c r="C3" s="93" t="s">
        <v>1</v>
      </c>
      <c r="D3" s="93" t="s">
        <v>101</v>
      </c>
      <c r="E3" s="93" t="s">
        <v>18</v>
      </c>
      <c r="F3" s="93" t="s">
        <v>3</v>
      </c>
      <c r="G3" s="93" t="s">
        <v>103</v>
      </c>
      <c r="H3" s="101" t="s">
        <v>102</v>
      </c>
      <c r="J3" s="2" t="s">
        <v>105</v>
      </c>
    </row>
    <row r="4" spans="1:12" ht="15" thickBot="1">
      <c r="A4" s="130"/>
      <c r="B4" s="133" t="s">
        <v>238</v>
      </c>
      <c r="C4" s="134"/>
      <c r="D4" s="131"/>
      <c r="E4" s="131"/>
      <c r="F4" s="131"/>
      <c r="G4" s="131"/>
      <c r="H4" s="132"/>
      <c r="J4" s="2"/>
      <c r="K4"/>
    </row>
    <row r="5" spans="1:12" ht="43.2">
      <c r="A5" s="36" t="s">
        <v>125</v>
      </c>
      <c r="B5" s="24" t="s">
        <v>19</v>
      </c>
      <c r="C5" s="53" t="s">
        <v>273</v>
      </c>
      <c r="D5" s="215"/>
      <c r="E5" s="195" t="s">
        <v>20</v>
      </c>
      <c r="F5" s="56"/>
      <c r="G5" s="215"/>
      <c r="H5" s="106" t="str">
        <f>IF(D5&gt;Contexte!D6,"attention, le nombre de contrôle de bon fonctionnement lié aux ventes est supérieur au nombre total de contrôles de bon fonctionnement","")</f>
        <v/>
      </c>
      <c r="K5" s="31"/>
    </row>
    <row r="6" spans="1:12">
      <c r="A6" s="70" t="s">
        <v>125</v>
      </c>
      <c r="B6" s="54" t="s">
        <v>21</v>
      </c>
      <c r="C6" s="51" t="s">
        <v>280</v>
      </c>
      <c r="D6" s="217"/>
      <c r="E6" s="57" t="s">
        <v>20</v>
      </c>
      <c r="F6" s="47"/>
      <c r="G6" s="213"/>
      <c r="H6" s="107" t="str">
        <f>IF(D6&gt;D5,"attention, le nombre de contrôles de bon fonctionnement lié aux ventes est supérieur au nombre total de contrôles de bon fonctionnement","")</f>
        <v/>
      </c>
    </row>
    <row r="7" spans="1:12">
      <c r="A7" s="70" t="s">
        <v>153</v>
      </c>
      <c r="B7" s="54" t="s">
        <v>401</v>
      </c>
      <c r="C7" s="51" t="s">
        <v>402</v>
      </c>
      <c r="D7" s="241">
        <f>IFERROR(D5-D6,"")</f>
        <v>0</v>
      </c>
      <c r="E7" s="57" t="s">
        <v>20</v>
      </c>
      <c r="F7" s="47" t="s">
        <v>403</v>
      </c>
      <c r="G7" s="213"/>
      <c r="H7" s="240"/>
    </row>
    <row r="8" spans="1:12" ht="57.6">
      <c r="A8" s="70" t="s">
        <v>153</v>
      </c>
      <c r="B8" s="54" t="s">
        <v>341</v>
      </c>
      <c r="C8" s="48" t="s">
        <v>391</v>
      </c>
      <c r="D8" s="117" t="str">
        <f>IFERROR(D5/Contexte!D6,"")</f>
        <v/>
      </c>
      <c r="E8" s="57" t="s">
        <v>6</v>
      </c>
      <c r="F8" s="47" t="s">
        <v>286</v>
      </c>
      <c r="G8" s="213"/>
      <c r="H8" s="108"/>
    </row>
    <row r="9" spans="1:12" ht="72.599999999999994" thickBot="1">
      <c r="A9" s="70" t="s">
        <v>153</v>
      </c>
      <c r="B9" s="54" t="s">
        <v>342</v>
      </c>
      <c r="C9" s="48" t="s">
        <v>214</v>
      </c>
      <c r="D9" s="118" t="str">
        <f>IFERROR(D6/D5,"")</f>
        <v/>
      </c>
      <c r="E9" s="16" t="s">
        <v>6</v>
      </c>
      <c r="F9" s="11" t="s">
        <v>285</v>
      </c>
      <c r="G9" s="216"/>
      <c r="H9" s="109"/>
    </row>
    <row r="10" spans="1:12" ht="58.2" thickBot="1">
      <c r="A10" s="70" t="s">
        <v>153</v>
      </c>
      <c r="B10" s="54" t="s">
        <v>389</v>
      </c>
      <c r="C10" s="48" t="s">
        <v>390</v>
      </c>
      <c r="D10" s="118" t="str">
        <f>IFERROR(D6/Contexte!D6,"")</f>
        <v/>
      </c>
      <c r="E10" s="16" t="s">
        <v>6</v>
      </c>
      <c r="F10" s="11" t="s">
        <v>392</v>
      </c>
      <c r="G10" s="216"/>
      <c r="H10" s="109"/>
    </row>
    <row r="11" spans="1:12" ht="15" thickBot="1">
      <c r="A11" s="198"/>
      <c r="B11" s="137" t="s">
        <v>239</v>
      </c>
      <c r="C11" s="138"/>
      <c r="D11" s="116"/>
      <c r="E11" s="157"/>
      <c r="F11" s="103"/>
      <c r="G11" s="135"/>
      <c r="H11" s="136"/>
      <c r="K11"/>
    </row>
    <row r="12" spans="1:12" ht="60.6" customHeight="1">
      <c r="A12" s="199" t="s">
        <v>125</v>
      </c>
      <c r="B12" s="24" t="s">
        <v>22</v>
      </c>
      <c r="C12" s="53" t="s">
        <v>116</v>
      </c>
      <c r="D12" s="215"/>
      <c r="E12" s="195" t="s">
        <v>20</v>
      </c>
      <c r="F12" s="56" t="s">
        <v>476</v>
      </c>
      <c r="G12" s="215"/>
      <c r="H12" s="106"/>
      <c r="I12" s="40"/>
      <c r="L12" s="5"/>
    </row>
    <row r="13" spans="1:12" ht="78.599999999999994" customHeight="1">
      <c r="A13" s="199" t="s">
        <v>153</v>
      </c>
      <c r="B13" s="54" t="s">
        <v>343</v>
      </c>
      <c r="C13" s="48" t="s">
        <v>191</v>
      </c>
      <c r="D13" s="121" t="str">
        <f>IFERROR(D12/(D5+D12),"")</f>
        <v/>
      </c>
      <c r="E13" s="57" t="s">
        <v>6</v>
      </c>
      <c r="F13" s="47" t="s">
        <v>287</v>
      </c>
      <c r="G13" s="213"/>
      <c r="H13" s="107"/>
      <c r="I13" s="40"/>
    </row>
    <row r="14" spans="1:12" ht="28.8">
      <c r="A14" s="199" t="s">
        <v>125</v>
      </c>
      <c r="B14" s="54" t="s">
        <v>23</v>
      </c>
      <c r="C14" s="48" t="s">
        <v>281</v>
      </c>
      <c r="D14" s="217"/>
      <c r="E14" s="57" t="s">
        <v>20</v>
      </c>
      <c r="F14" s="47" t="s">
        <v>192</v>
      </c>
      <c r="G14" s="213"/>
      <c r="H14" s="110" t="str">
        <f>IF(D14&gt;D12,"attention, le nombre de contrôle d'examen de conception est supérieur au nombre de contrôles neuf sur l'année N","")</f>
        <v/>
      </c>
      <c r="I14" s="40"/>
      <c r="J14" s="5"/>
    </row>
    <row r="15" spans="1:12" ht="77.400000000000006" customHeight="1">
      <c r="A15" s="199" t="s">
        <v>125</v>
      </c>
      <c r="B15" s="54" t="s">
        <v>24</v>
      </c>
      <c r="C15" s="48" t="s">
        <v>274</v>
      </c>
      <c r="D15" s="217"/>
      <c r="E15" s="57" t="s">
        <v>20</v>
      </c>
      <c r="F15" s="47" t="s">
        <v>217</v>
      </c>
      <c r="G15" s="213"/>
      <c r="H15" s="110" t="str">
        <f>IF(D15&gt;D11,"attention, le nombre de contrôle de réalisation est supérieur au nombre de contrôles neuf sur l'année N","")</f>
        <v/>
      </c>
      <c r="I15" s="40"/>
      <c r="L15" s="4"/>
    </row>
    <row r="16" spans="1:12" ht="77.400000000000006" customHeight="1">
      <c r="A16" s="70" t="s">
        <v>153</v>
      </c>
      <c r="B16" s="54" t="s">
        <v>393</v>
      </c>
      <c r="C16" s="48" t="s">
        <v>394</v>
      </c>
      <c r="D16" s="241" t="str">
        <f>IFERROR(D6/D21,"")</f>
        <v/>
      </c>
      <c r="E16" s="57"/>
      <c r="F16" s="47"/>
      <c r="G16" s="213"/>
      <c r="H16" s="110"/>
      <c r="I16" s="40"/>
      <c r="L16" s="4"/>
    </row>
    <row r="17" spans="1:12" ht="77.400000000000006" customHeight="1">
      <c r="A17" s="70" t="s">
        <v>153</v>
      </c>
      <c r="B17" s="54" t="s">
        <v>395</v>
      </c>
      <c r="C17" s="48" t="s">
        <v>396</v>
      </c>
      <c r="D17" s="241" t="str">
        <f>IFERROR((D7)/D21,"")</f>
        <v/>
      </c>
      <c r="E17" s="57"/>
      <c r="F17" s="47"/>
      <c r="G17" s="213"/>
      <c r="H17" s="110"/>
      <c r="I17" s="40"/>
      <c r="L17" s="4"/>
    </row>
    <row r="18" spans="1:12" ht="77.400000000000006" customHeight="1">
      <c r="A18" s="70" t="s">
        <v>153</v>
      </c>
      <c r="B18" s="54" t="s">
        <v>397</v>
      </c>
      <c r="C18" s="48" t="s">
        <v>398</v>
      </c>
      <c r="D18" s="241" t="str">
        <f>IFERROR(D14/D21,"")</f>
        <v/>
      </c>
      <c r="E18" s="57"/>
      <c r="F18" s="47"/>
      <c r="G18" s="213"/>
      <c r="H18" s="110"/>
      <c r="I18" s="40"/>
      <c r="L18" s="4"/>
    </row>
    <row r="19" spans="1:12" ht="77.400000000000006" customHeight="1">
      <c r="A19" s="70" t="s">
        <v>153</v>
      </c>
      <c r="B19" s="54" t="s">
        <v>399</v>
      </c>
      <c r="C19" s="48" t="s">
        <v>400</v>
      </c>
      <c r="D19" s="241" t="str">
        <f>IFERROR(D15/D21,"")</f>
        <v/>
      </c>
      <c r="E19" s="57"/>
      <c r="F19" s="47"/>
      <c r="G19" s="213"/>
      <c r="H19" s="110"/>
      <c r="I19" s="40"/>
      <c r="L19" s="4"/>
    </row>
    <row r="20" spans="1:12">
      <c r="A20" s="198"/>
      <c r="B20" s="141" t="s">
        <v>240</v>
      </c>
      <c r="C20" s="142"/>
      <c r="D20" s="102"/>
      <c r="E20" s="196"/>
      <c r="F20" s="83"/>
      <c r="G20" s="139"/>
      <c r="H20" s="140"/>
      <c r="I20" s="40"/>
      <c r="K20"/>
      <c r="L20" s="4"/>
    </row>
    <row r="21" spans="1:12" ht="54" customHeight="1" thickBot="1">
      <c r="A21" s="70" t="s">
        <v>153</v>
      </c>
      <c r="B21" s="25" t="s">
        <v>209</v>
      </c>
      <c r="C21" s="58" t="s">
        <v>230</v>
      </c>
      <c r="D21" s="236">
        <f>D12+D5</f>
        <v>0</v>
      </c>
      <c r="E21" s="17"/>
      <c r="F21" s="14" t="s">
        <v>180</v>
      </c>
      <c r="G21" s="218"/>
      <c r="H21" s="113"/>
    </row>
    <row r="22" spans="1:12" ht="119.4" customHeight="1">
      <c r="A22" s="200" t="s">
        <v>125</v>
      </c>
      <c r="B22" s="54" t="s">
        <v>263</v>
      </c>
      <c r="C22" s="48" t="s">
        <v>193</v>
      </c>
      <c r="D22" s="214"/>
      <c r="E22" s="57" t="s">
        <v>20</v>
      </c>
      <c r="F22" s="57" t="s">
        <v>194</v>
      </c>
      <c r="G22" s="213"/>
      <c r="H22" s="110" t="str">
        <f>IF(D22&gt;D5,"attention, le nombre d'immeubles contrôlés avec absence d'installation est supérieur au nombre de contrôles de bon fonctionnement","")</f>
        <v/>
      </c>
    </row>
    <row r="23" spans="1:12" ht="72">
      <c r="A23" s="201" t="s">
        <v>125</v>
      </c>
      <c r="B23" s="41" t="s">
        <v>264</v>
      </c>
      <c r="C23" s="69" t="s">
        <v>218</v>
      </c>
      <c r="D23" s="216"/>
      <c r="E23" s="16" t="s">
        <v>20</v>
      </c>
      <c r="F23" s="11" t="s">
        <v>216</v>
      </c>
      <c r="G23" s="216"/>
      <c r="H23" s="110" t="str">
        <f>IF(D23&gt;D5,"attention, le nombre d'immeubles avec obligation de travaux sous 4 ans est supérieur au nombre de contrôles de bon fonctionnement","")</f>
        <v/>
      </c>
    </row>
    <row r="24" spans="1:12" ht="43.2">
      <c r="A24" s="70" t="s">
        <v>126</v>
      </c>
      <c r="B24" s="54" t="s">
        <v>265</v>
      </c>
      <c r="C24" s="55" t="s">
        <v>219</v>
      </c>
      <c r="D24" s="214"/>
      <c r="E24" s="57" t="s">
        <v>20</v>
      </c>
      <c r="F24" s="47"/>
      <c r="G24" s="213"/>
      <c r="H24" s="110" t="str">
        <f>IF(D24&gt;D5,"attention, le nombre d'immeubles avec obligation de travaux en cas de vente est supérieur au nombre de contrôles de bon fonctionnement","")</f>
        <v/>
      </c>
    </row>
    <row r="25" spans="1:12" ht="28.8">
      <c r="A25" s="70" t="s">
        <v>153</v>
      </c>
      <c r="B25" s="54" t="s">
        <v>344</v>
      </c>
      <c r="C25" s="55" t="s">
        <v>220</v>
      </c>
      <c r="D25" s="115" t="str">
        <f>IFERROR(D22/D5,"")</f>
        <v/>
      </c>
      <c r="E25" s="57" t="s">
        <v>6</v>
      </c>
      <c r="F25" s="47"/>
      <c r="G25" s="213"/>
      <c r="H25" s="111"/>
    </row>
    <row r="26" spans="1:12" ht="28.8">
      <c r="A26" s="70" t="s">
        <v>153</v>
      </c>
      <c r="B26" s="54" t="s">
        <v>345</v>
      </c>
      <c r="C26" s="55" t="s">
        <v>221</v>
      </c>
      <c r="D26" s="115" t="str">
        <f>IFERROR(D23/D5,"")</f>
        <v/>
      </c>
      <c r="E26" s="57" t="s">
        <v>6</v>
      </c>
      <c r="F26" s="47"/>
      <c r="G26" s="213"/>
      <c r="H26" s="111"/>
    </row>
    <row r="27" spans="1:12" ht="28.8">
      <c r="A27" s="70" t="s">
        <v>153</v>
      </c>
      <c r="B27" s="54" t="s">
        <v>346</v>
      </c>
      <c r="C27" s="55" t="s">
        <v>222</v>
      </c>
      <c r="D27" s="115" t="str">
        <f>IFERROR(D24/D5,"")</f>
        <v/>
      </c>
      <c r="E27" s="57" t="s">
        <v>6</v>
      </c>
      <c r="F27" s="47"/>
      <c r="G27" s="213"/>
      <c r="H27" s="111"/>
    </row>
    <row r="28" spans="1:12" ht="43.2">
      <c r="A28" s="202" t="s">
        <v>125</v>
      </c>
      <c r="B28" s="54" t="s">
        <v>25</v>
      </c>
      <c r="C28" s="55" t="s">
        <v>282</v>
      </c>
      <c r="D28" s="214"/>
      <c r="E28" s="57" t="s">
        <v>15</v>
      </c>
      <c r="F28" s="47" t="s">
        <v>381</v>
      </c>
      <c r="G28" s="214"/>
      <c r="H28" s="110"/>
      <c r="I28" s="61"/>
    </row>
    <row r="29" spans="1:12" ht="43.2" hidden="1">
      <c r="A29" s="70" t="s">
        <v>153</v>
      </c>
      <c r="B29" s="54" t="s">
        <v>434</v>
      </c>
      <c r="C29" s="55" t="s">
        <v>282</v>
      </c>
      <c r="D29" s="243">
        <f>IF(D28="oui",2,0)</f>
        <v>0</v>
      </c>
      <c r="E29" s="57" t="s">
        <v>435</v>
      </c>
      <c r="F29" s="47"/>
      <c r="G29" s="228"/>
      <c r="H29" s="110"/>
    </row>
    <row r="30" spans="1:12" ht="43.2">
      <c r="A30" s="70" t="s">
        <v>125</v>
      </c>
      <c r="B30" s="54" t="s">
        <v>26</v>
      </c>
      <c r="C30" s="55" t="s">
        <v>283</v>
      </c>
      <c r="D30" s="213"/>
      <c r="E30" s="57" t="s">
        <v>15</v>
      </c>
      <c r="F30" s="47" t="s">
        <v>147</v>
      </c>
      <c r="G30" s="216"/>
      <c r="H30" s="107"/>
    </row>
    <row r="31" spans="1:12" ht="43.2" hidden="1">
      <c r="A31" s="70" t="s">
        <v>153</v>
      </c>
      <c r="B31" s="54" t="s">
        <v>436</v>
      </c>
      <c r="C31" s="55" t="s">
        <v>283</v>
      </c>
      <c r="D31" s="243">
        <f>IF(D30="oui",3,0)</f>
        <v>0</v>
      </c>
      <c r="E31" s="57" t="s">
        <v>435</v>
      </c>
      <c r="F31" s="47"/>
      <c r="G31" s="216"/>
      <c r="H31" s="107"/>
    </row>
    <row r="32" spans="1:12" ht="72">
      <c r="A32" s="70" t="s">
        <v>125</v>
      </c>
      <c r="B32" s="54" t="s">
        <v>27</v>
      </c>
      <c r="C32" s="55" t="s">
        <v>225</v>
      </c>
      <c r="D32" s="214"/>
      <c r="E32" s="57" t="s">
        <v>15</v>
      </c>
      <c r="F32" s="47" t="s">
        <v>382</v>
      </c>
      <c r="G32" s="213"/>
      <c r="H32" s="110"/>
    </row>
    <row r="33" spans="1:11" ht="72" hidden="1">
      <c r="A33" s="70" t="s">
        <v>153</v>
      </c>
      <c r="B33" s="54" t="s">
        <v>437</v>
      </c>
      <c r="C33" s="55" t="s">
        <v>225</v>
      </c>
      <c r="D33" s="243">
        <f>IF(D32="oui",2,0)</f>
        <v>0</v>
      </c>
      <c r="E33" s="57" t="s">
        <v>435</v>
      </c>
      <c r="F33" s="47"/>
      <c r="G33" s="213"/>
      <c r="H33" s="110"/>
    </row>
    <row r="34" spans="1:11" ht="43.2">
      <c r="A34" s="70" t="s">
        <v>125</v>
      </c>
      <c r="B34" s="54" t="s">
        <v>375</v>
      </c>
      <c r="C34" s="55" t="s">
        <v>376</v>
      </c>
      <c r="D34" s="214"/>
      <c r="E34" s="57" t="s">
        <v>15</v>
      </c>
      <c r="F34" s="47" t="s">
        <v>148</v>
      </c>
      <c r="G34" s="213"/>
      <c r="H34" s="110"/>
    </row>
    <row r="35" spans="1:11" ht="43.2" hidden="1">
      <c r="A35" s="70" t="s">
        <v>153</v>
      </c>
      <c r="B35" s="54" t="s">
        <v>438</v>
      </c>
      <c r="C35" s="55" t="s">
        <v>376</v>
      </c>
      <c r="D35" s="243">
        <f>IF(D34="oui",1,0)</f>
        <v>0</v>
      </c>
      <c r="E35" s="57" t="s">
        <v>435</v>
      </c>
      <c r="F35" s="47"/>
      <c r="G35" s="213"/>
      <c r="H35" s="110"/>
    </row>
    <row r="36" spans="1:11" ht="52.5" customHeight="1">
      <c r="A36" s="70" t="s">
        <v>125</v>
      </c>
      <c r="B36" s="54" t="s">
        <v>377</v>
      </c>
      <c r="C36" s="55" t="s">
        <v>378</v>
      </c>
      <c r="D36" s="214"/>
      <c r="E36" s="57" t="s">
        <v>15</v>
      </c>
      <c r="F36" s="47" t="s">
        <v>383</v>
      </c>
      <c r="G36" s="213"/>
      <c r="H36" s="110"/>
    </row>
    <row r="37" spans="1:11" ht="52.5" hidden="1" customHeight="1">
      <c r="A37" s="70" t="s">
        <v>153</v>
      </c>
      <c r="B37" s="54" t="s">
        <v>439</v>
      </c>
      <c r="C37" s="55" t="s">
        <v>378</v>
      </c>
      <c r="D37" s="243">
        <f>IF(D36="oui",1,0)</f>
        <v>0</v>
      </c>
      <c r="E37" s="57" t="s">
        <v>435</v>
      </c>
      <c r="F37" s="47"/>
      <c r="G37" s="213"/>
      <c r="H37" s="110"/>
    </row>
    <row r="38" spans="1:11" ht="28.8">
      <c r="A38" s="70" t="s">
        <v>125</v>
      </c>
      <c r="B38" s="54" t="s">
        <v>379</v>
      </c>
      <c r="C38" s="55" t="s">
        <v>380</v>
      </c>
      <c r="D38" s="214"/>
      <c r="E38" s="57" t="s">
        <v>15</v>
      </c>
      <c r="F38" s="47" t="s">
        <v>148</v>
      </c>
      <c r="G38" s="213"/>
      <c r="H38" s="110"/>
    </row>
    <row r="39" spans="1:11" ht="28.8" hidden="1">
      <c r="A39" s="70" t="s">
        <v>153</v>
      </c>
      <c r="B39" s="54" t="s">
        <v>440</v>
      </c>
      <c r="C39" s="55" t="s">
        <v>380</v>
      </c>
      <c r="D39" s="243">
        <f>IF(D38="oui",1,0)</f>
        <v>0</v>
      </c>
      <c r="E39" s="57" t="s">
        <v>435</v>
      </c>
      <c r="F39" s="47"/>
      <c r="G39" s="213"/>
      <c r="H39" s="110"/>
    </row>
    <row r="40" spans="1:11" ht="28.8">
      <c r="A40" s="70" t="s">
        <v>153</v>
      </c>
      <c r="B40" s="54" t="s">
        <v>356</v>
      </c>
      <c r="C40" s="48" t="s">
        <v>117</v>
      </c>
      <c r="D40" s="115">
        <f>SUM(IF(D28="oui",2,0),IF(D30="oui",3,0),IF(D32="oui",2,0),IF(D34="oui",1,0),IF(D36="oui",1,0),IF(D38="oui",1,0))</f>
        <v>0</v>
      </c>
      <c r="E40" s="57" t="s">
        <v>464</v>
      </c>
      <c r="F40" s="47" t="s">
        <v>384</v>
      </c>
      <c r="G40" s="213"/>
      <c r="H40" s="110"/>
      <c r="J40">
        <f>IF(D28=0,0,1)</f>
        <v>0</v>
      </c>
    </row>
    <row r="41" spans="1:11">
      <c r="A41" s="203"/>
      <c r="B41" s="143" t="s">
        <v>241</v>
      </c>
      <c r="C41" s="142"/>
      <c r="D41" s="104"/>
      <c r="E41" s="196"/>
      <c r="F41" s="83"/>
      <c r="G41" s="139"/>
      <c r="H41" s="136"/>
      <c r="K41"/>
    </row>
    <row r="42" spans="1:11" ht="72">
      <c r="A42" s="70" t="s">
        <v>125</v>
      </c>
      <c r="B42" s="50" t="s">
        <v>266</v>
      </c>
      <c r="C42" s="48" t="s">
        <v>106</v>
      </c>
      <c r="D42" s="214"/>
      <c r="E42" s="57" t="s">
        <v>284</v>
      </c>
      <c r="F42" s="47" t="s">
        <v>226</v>
      </c>
      <c r="G42" s="213"/>
      <c r="H42" s="112"/>
    </row>
    <row r="43" spans="1:11" ht="14.55" customHeight="1">
      <c r="A43" s="70" t="s">
        <v>125</v>
      </c>
      <c r="B43" s="50" t="s">
        <v>267</v>
      </c>
      <c r="C43" s="48" t="s">
        <v>28</v>
      </c>
      <c r="D43" s="214"/>
      <c r="E43" s="57" t="s">
        <v>15</v>
      </c>
      <c r="F43" s="47" t="s">
        <v>127</v>
      </c>
      <c r="G43" s="213"/>
      <c r="H43" s="108"/>
    </row>
    <row r="44" spans="1:11" ht="43.2">
      <c r="A44" s="70" t="s">
        <v>126</v>
      </c>
      <c r="B44" s="50" t="s">
        <v>268</v>
      </c>
      <c r="C44" s="48" t="s">
        <v>229</v>
      </c>
      <c r="D44" s="213"/>
      <c r="E44" s="57" t="s">
        <v>20</v>
      </c>
      <c r="F44" s="47" t="s">
        <v>210</v>
      </c>
      <c r="G44" s="213"/>
      <c r="H44" s="107"/>
      <c r="K44" s="31"/>
    </row>
    <row r="45" spans="1:11" s="43" customFormat="1" ht="54" customHeight="1" thickBot="1">
      <c r="A45" s="70" t="s">
        <v>153</v>
      </c>
      <c r="B45" s="25" t="s">
        <v>347</v>
      </c>
      <c r="C45" s="58" t="s">
        <v>228</v>
      </c>
      <c r="D45" s="122" t="str">
        <f>IFERROR(D44/Contexte!D6,"")</f>
        <v/>
      </c>
      <c r="E45" s="17" t="s">
        <v>6</v>
      </c>
      <c r="F45" s="14" t="s">
        <v>288</v>
      </c>
      <c r="G45" s="218"/>
      <c r="H45" s="113"/>
      <c r="I45" s="42"/>
    </row>
    <row r="46" spans="1:11" s="43" customFormat="1" ht="58.2" thickBot="1">
      <c r="A46" s="70" t="s">
        <v>153</v>
      </c>
      <c r="B46" s="25" t="s">
        <v>348</v>
      </c>
      <c r="C46" s="58" t="s">
        <v>227</v>
      </c>
      <c r="D46" s="122" t="str">
        <f>IFERROR(D44/D5,"")</f>
        <v/>
      </c>
      <c r="E46" s="17" t="s">
        <v>6</v>
      </c>
      <c r="F46" s="14" t="s">
        <v>289</v>
      </c>
      <c r="G46" s="218"/>
      <c r="H46" s="113"/>
      <c r="I46" s="42"/>
    </row>
    <row r="47" spans="1:11" ht="15" thickBot="1">
      <c r="A47" s="204"/>
      <c r="B47" s="144" t="s">
        <v>242</v>
      </c>
      <c r="C47" s="127"/>
      <c r="D47" s="105"/>
      <c r="E47" s="197"/>
      <c r="F47" s="124"/>
      <c r="G47" s="125"/>
      <c r="H47" s="126"/>
      <c r="K47"/>
    </row>
    <row r="48" spans="1:11" ht="28.8">
      <c r="A48" s="202" t="s">
        <v>125</v>
      </c>
      <c r="B48" s="35" t="s">
        <v>269</v>
      </c>
      <c r="C48" s="53" t="s">
        <v>231</v>
      </c>
      <c r="D48" s="219"/>
      <c r="E48" s="57" t="s">
        <v>20</v>
      </c>
      <c r="F48" s="56" t="s">
        <v>232</v>
      </c>
      <c r="G48" s="215"/>
      <c r="H48" s="114" t="str">
        <f>IF(D48&gt;Contexte!D6,"attention le nombre d'installations supérieures à 20EH indiqué est supérieur au nombre total d'installations","")</f>
        <v/>
      </c>
    </row>
    <row r="49" spans="1:11" ht="28.8">
      <c r="A49" s="202" t="s">
        <v>125</v>
      </c>
      <c r="B49" s="67" t="s">
        <v>270</v>
      </c>
      <c r="C49" s="51" t="s">
        <v>279</v>
      </c>
      <c r="D49" s="220"/>
      <c r="E49" s="57" t="s">
        <v>15</v>
      </c>
      <c r="F49" s="47"/>
      <c r="G49" s="213"/>
      <c r="H49" s="108"/>
    </row>
    <row r="50" spans="1:11" ht="28.8">
      <c r="A50" s="70" t="s">
        <v>125</v>
      </c>
      <c r="B50" s="67" t="s">
        <v>29</v>
      </c>
      <c r="C50" s="51" t="s">
        <v>276</v>
      </c>
      <c r="D50" s="221"/>
      <c r="E50" s="57" t="s">
        <v>20</v>
      </c>
      <c r="F50" s="47" t="s">
        <v>149</v>
      </c>
      <c r="G50" s="213"/>
      <c r="H50" s="107"/>
    </row>
    <row r="51" spans="1:11" ht="28.8">
      <c r="A51" s="239" t="s">
        <v>125</v>
      </c>
      <c r="B51" s="67" t="s">
        <v>404</v>
      </c>
      <c r="C51" s="51" t="s">
        <v>388</v>
      </c>
      <c r="D51" s="221"/>
      <c r="E51" s="57" t="s">
        <v>20</v>
      </c>
      <c r="F51" s="47" t="s">
        <v>149</v>
      </c>
      <c r="G51" s="213"/>
      <c r="H51" s="240"/>
    </row>
    <row r="52" spans="1:11" ht="43.2">
      <c r="A52" s="202" t="s">
        <v>125</v>
      </c>
      <c r="B52" s="67" t="s">
        <v>30</v>
      </c>
      <c r="C52" s="51" t="s">
        <v>275</v>
      </c>
      <c r="D52" s="214"/>
      <c r="E52" s="57" t="s">
        <v>15</v>
      </c>
      <c r="F52" s="47"/>
      <c r="G52" s="213"/>
      <c r="H52" s="108"/>
    </row>
    <row r="53" spans="1:11" ht="15" thickBot="1">
      <c r="A53" s="70" t="s">
        <v>153</v>
      </c>
      <c r="B53" s="210" t="s">
        <v>349</v>
      </c>
      <c r="C53" s="58" t="s">
        <v>31</v>
      </c>
      <c r="D53" s="122" t="str">
        <f>IFERROR(D48/Contexte!D6,"")</f>
        <v/>
      </c>
      <c r="E53" s="17" t="s">
        <v>6</v>
      </c>
      <c r="F53" s="14" t="s">
        <v>290</v>
      </c>
      <c r="G53" s="218"/>
      <c r="H53" s="113"/>
    </row>
    <row r="54" spans="1:11" ht="29.4" hidden="1" thickBot="1">
      <c r="A54" s="70" t="s">
        <v>153</v>
      </c>
      <c r="B54" s="210" t="s">
        <v>468</v>
      </c>
      <c r="C54" s="245" t="s">
        <v>470</v>
      </c>
      <c r="D54" s="293" t="str">
        <f>IFERROR(_xlfn.XLOOKUP("VC602",EXTRACTION!A:A,EXTRACTION!C:C)/_xlfn.XLOOKUP("DC308",EXTRACTION!A:A,EXTRACTION!C:C),"")</f>
        <v/>
      </c>
      <c r="E54" s="294"/>
      <c r="F54" s="295"/>
      <c r="G54" s="296"/>
      <c r="H54" s="297"/>
    </row>
    <row r="55" spans="1:11" ht="29.4" hidden="1" thickBot="1">
      <c r="A55" s="70" t="s">
        <v>153</v>
      </c>
      <c r="B55" s="210" t="s">
        <v>469</v>
      </c>
      <c r="C55" s="245" t="s">
        <v>471</v>
      </c>
      <c r="D55" s="293" t="str">
        <f>IFERROR(_xlfn.XLOOKUP("VC602",EXTRACTION!A:A,EXTRACTION!C:C)/_xlfn.XLOOKUP("DC306",EXTRACTION!A:A,EXTRACTION!C:C),"")</f>
        <v/>
      </c>
      <c r="E55" s="294"/>
      <c r="F55" s="295"/>
      <c r="G55" s="296"/>
      <c r="H55" s="297"/>
    </row>
    <row r="56" spans="1:11" ht="15" thickBot="1">
      <c r="A56" s="204"/>
      <c r="B56" s="144" t="s">
        <v>236</v>
      </c>
      <c r="C56" s="127"/>
      <c r="D56" s="123"/>
      <c r="E56" s="197"/>
      <c r="F56" s="124"/>
      <c r="G56" s="125"/>
      <c r="H56" s="126"/>
      <c r="K56"/>
    </row>
    <row r="57" spans="1:11" ht="57.6">
      <c r="A57" s="202" t="s">
        <v>126</v>
      </c>
      <c r="B57" s="49" t="s">
        <v>271</v>
      </c>
      <c r="C57" s="53" t="s">
        <v>130</v>
      </c>
      <c r="D57" s="219"/>
      <c r="E57" s="57" t="s">
        <v>20</v>
      </c>
      <c r="F57" s="56" t="s">
        <v>233</v>
      </c>
      <c r="G57" s="215"/>
      <c r="H57" s="114"/>
    </row>
    <row r="58" spans="1:11" ht="28.8">
      <c r="A58" s="70" t="s">
        <v>153</v>
      </c>
      <c r="B58" s="50" t="s">
        <v>350</v>
      </c>
      <c r="C58" s="48" t="s">
        <v>32</v>
      </c>
      <c r="D58" s="121" t="str">
        <f>IFERROR(D57/Contexte!D6,"")</f>
        <v/>
      </c>
      <c r="E58" s="57" t="s">
        <v>6</v>
      </c>
      <c r="F58" s="47" t="s">
        <v>291</v>
      </c>
      <c r="G58" s="213"/>
      <c r="H58" s="107"/>
    </row>
    <row r="59" spans="1:11" ht="88.8" customHeight="1">
      <c r="A59" s="70" t="s">
        <v>126</v>
      </c>
      <c r="B59" s="50" t="s">
        <v>272</v>
      </c>
      <c r="C59" s="48" t="s">
        <v>277</v>
      </c>
      <c r="D59" s="213"/>
      <c r="E59" s="57" t="s">
        <v>20</v>
      </c>
      <c r="F59" s="47" t="s">
        <v>234</v>
      </c>
      <c r="G59" s="213"/>
      <c r="H59" s="107"/>
    </row>
    <row r="60" spans="1:11" ht="73.2" customHeight="1" thickBot="1">
      <c r="A60" s="70" t="s">
        <v>153</v>
      </c>
      <c r="B60" s="25" t="s">
        <v>351</v>
      </c>
      <c r="C60" s="58" t="s">
        <v>235</v>
      </c>
      <c r="D60" s="122" t="str">
        <f>IFERROR(D59/Contexte!D6,"")</f>
        <v/>
      </c>
      <c r="E60" s="17" t="s">
        <v>6</v>
      </c>
      <c r="F60" s="14" t="s">
        <v>292</v>
      </c>
      <c r="G60" s="218"/>
      <c r="H60" s="113"/>
    </row>
    <row r="61" spans="1:11" ht="73.2" customHeight="1" thickBot="1">
      <c r="A61" s="70" t="s">
        <v>153</v>
      </c>
      <c r="B61" s="25" t="s">
        <v>352</v>
      </c>
      <c r="C61" s="58" t="s">
        <v>237</v>
      </c>
      <c r="D61" s="122" t="str">
        <f>IFERROR((D59+D57)/Contexte!D6,"")</f>
        <v/>
      </c>
      <c r="E61" s="17" t="s">
        <v>6</v>
      </c>
      <c r="F61" s="14"/>
      <c r="G61" s="218"/>
      <c r="H61" s="113"/>
    </row>
    <row r="62" spans="1:11" ht="73.2" customHeight="1">
      <c r="A62" s="70" t="s">
        <v>126</v>
      </c>
      <c r="B62" s="298" t="s">
        <v>479</v>
      </c>
      <c r="C62" s="245" t="s">
        <v>485</v>
      </c>
      <c r="D62" s="216"/>
      <c r="E62" s="294" t="s">
        <v>20</v>
      </c>
      <c r="F62" s="295" t="s">
        <v>482</v>
      </c>
      <c r="G62" s="296"/>
      <c r="H62" s="297"/>
    </row>
    <row r="63" spans="1:11" ht="73.2" customHeight="1" thickBot="1">
      <c r="A63" s="70" t="s">
        <v>153</v>
      </c>
      <c r="B63" s="25" t="s">
        <v>345</v>
      </c>
      <c r="C63" s="58" t="s">
        <v>484</v>
      </c>
      <c r="D63" s="122" t="str">
        <f>IFERROR(D62/Contexte!D6,"")</f>
        <v/>
      </c>
      <c r="E63" s="17" t="s">
        <v>6</v>
      </c>
      <c r="F63" s="14" t="s">
        <v>483</v>
      </c>
      <c r="G63" s="218"/>
      <c r="H63" s="113"/>
    </row>
    <row r="64" spans="1:11" ht="15" thickBot="1">
      <c r="A64" s="203"/>
      <c r="B64" s="144" t="s">
        <v>243</v>
      </c>
      <c r="C64" s="299"/>
      <c r="D64" s="301"/>
      <c r="E64" s="302"/>
      <c r="F64" s="303"/>
      <c r="G64" s="304"/>
      <c r="H64" s="305"/>
      <c r="K64"/>
    </row>
    <row r="65" spans="1:10" ht="62.55" customHeight="1">
      <c r="A65" s="70" t="s">
        <v>126</v>
      </c>
      <c r="B65" s="49" t="s">
        <v>33</v>
      </c>
      <c r="C65" s="71" t="s">
        <v>480</v>
      </c>
      <c r="D65" s="216"/>
      <c r="E65" s="16" t="s">
        <v>20</v>
      </c>
      <c r="F65" s="11" t="s">
        <v>481</v>
      </c>
      <c r="G65" s="216"/>
      <c r="H65" s="300"/>
      <c r="I65" s="62"/>
    </row>
    <row r="66" spans="1:10" ht="28.8">
      <c r="A66" s="202" t="s">
        <v>125</v>
      </c>
      <c r="B66" s="50" t="s">
        <v>34</v>
      </c>
      <c r="C66" s="51" t="s">
        <v>278</v>
      </c>
      <c r="D66" s="214"/>
      <c r="E66" s="57" t="s">
        <v>15</v>
      </c>
      <c r="F66" s="47"/>
      <c r="G66" s="213"/>
      <c r="H66" s="108"/>
      <c r="I66" s="62"/>
      <c r="J66" s="7"/>
    </row>
    <row r="67" spans="1:10">
      <c r="A67" s="70" t="s">
        <v>125</v>
      </c>
      <c r="B67" s="26" t="s">
        <v>128</v>
      </c>
      <c r="C67" s="6" t="s">
        <v>129</v>
      </c>
      <c r="D67" s="222"/>
      <c r="E67" s="9" t="s">
        <v>92</v>
      </c>
      <c r="F67" s="60"/>
      <c r="G67" s="223"/>
      <c r="H67" s="112"/>
      <c r="I67" s="62"/>
    </row>
    <row r="68" spans="1:10" ht="57.6" customHeight="1" thickBot="1">
      <c r="A68" s="205" t="s">
        <v>153</v>
      </c>
      <c r="B68" s="25" t="s">
        <v>353</v>
      </c>
      <c r="C68" s="32" t="s">
        <v>195</v>
      </c>
      <c r="D68" s="122" t="str">
        <f>IFERROR(D65/D5,"")</f>
        <v/>
      </c>
      <c r="E68" s="17" t="s">
        <v>6</v>
      </c>
      <c r="F68" s="14" t="s">
        <v>35</v>
      </c>
      <c r="G68" s="218"/>
      <c r="H68" s="113"/>
      <c r="I68" s="62"/>
    </row>
  </sheetData>
  <sheetProtection algorithmName="SHA-512" hashValue="ohmRms5gXxuXGjbKaeUL+m8z+eSkRKKMex7iVfgdeeSWZgrlUTKnCw7rqIocHQyA1NgX07m2QZHnG5gbGhGhQw==" saltValue="OpsED0aJ6N0JZuEDhO8Nyg==" spinCount="100000" sheet="1" formatCells="0" formatColumns="0" formatRows="0" insertHyperlinks="0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43FAB6E-4772-431C-A95F-C031E4C9445E}">
          <x14:formula1>
            <xm:f>Notice!$R$1:$R$2</xm:f>
          </x14:formula1>
          <xm:sqref>D66 D43 D49 D52 D28 D30 D32 D34 D36 D38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A38EA-408A-4477-AB3E-B7D56D0CEB63}">
  <sheetPr codeName="Feuil5"/>
  <dimension ref="A1:K45"/>
  <sheetViews>
    <sheetView topLeftCell="A26" workbookViewId="0">
      <selection activeCell="D32" sqref="D32"/>
    </sheetView>
  </sheetViews>
  <sheetFormatPr baseColWidth="10" defaultRowHeight="14.4"/>
  <cols>
    <col min="3" max="3" width="24" customWidth="1"/>
    <col min="4" max="4" width="19.21875" customWidth="1"/>
    <col min="6" max="6" width="21.44140625" customWidth="1"/>
    <col min="7" max="7" width="24.21875" style="15" customWidth="1"/>
    <col min="9" max="9" width="10.88671875" hidden="1" customWidth="1"/>
    <col min="10" max="10" width="45" customWidth="1"/>
  </cols>
  <sheetData>
    <row r="1" spans="1:11" ht="28.8">
      <c r="B1" s="97" t="s">
        <v>110</v>
      </c>
      <c r="C1" s="98"/>
      <c r="D1" s="98"/>
      <c r="E1" s="96"/>
      <c r="F1" s="96"/>
      <c r="G1" s="96"/>
    </row>
    <row r="2" spans="1:11" ht="15" thickBot="1"/>
    <row r="3" spans="1:11" ht="29.4" thickBot="1">
      <c r="A3" s="163" t="s">
        <v>124</v>
      </c>
      <c r="B3" s="146" t="s">
        <v>0</v>
      </c>
      <c r="C3" s="147" t="s">
        <v>1</v>
      </c>
      <c r="D3" s="147" t="s">
        <v>101</v>
      </c>
      <c r="E3" s="164" t="s">
        <v>2</v>
      </c>
      <c r="F3" s="147" t="s">
        <v>3</v>
      </c>
      <c r="G3" s="147" t="s">
        <v>103</v>
      </c>
      <c r="H3" s="90" t="s">
        <v>113</v>
      </c>
    </row>
    <row r="4" spans="1:11" ht="15" thickBot="1">
      <c r="A4" s="175"/>
      <c r="B4" s="179" t="s">
        <v>252</v>
      </c>
      <c r="C4" s="152"/>
      <c r="D4" s="176"/>
      <c r="E4" s="177"/>
      <c r="F4" s="176"/>
      <c r="G4" s="176"/>
      <c r="H4" s="178"/>
    </row>
    <row r="5" spans="1:11" ht="75" customHeight="1" thickBot="1">
      <c r="A5" s="77" t="s">
        <v>125</v>
      </c>
      <c r="B5" s="68" t="s">
        <v>247</v>
      </c>
      <c r="C5" s="76" t="s">
        <v>419</v>
      </c>
      <c r="D5" s="215"/>
      <c r="E5" s="195" t="s">
        <v>15</v>
      </c>
      <c r="F5" s="23" t="s">
        <v>200</v>
      </c>
      <c r="G5" s="235"/>
      <c r="H5" s="80"/>
      <c r="I5">
        <v>1</v>
      </c>
      <c r="J5" s="74"/>
      <c r="K5" s="30"/>
    </row>
    <row r="6" spans="1:11" ht="71.400000000000006" customHeight="1" thickBot="1">
      <c r="A6" s="77" t="s">
        <v>125</v>
      </c>
      <c r="B6" s="68" t="s">
        <v>248</v>
      </c>
      <c r="C6" s="76" t="s">
        <v>420</v>
      </c>
      <c r="D6" s="213"/>
      <c r="E6" s="57" t="s">
        <v>15</v>
      </c>
      <c r="F6" s="75" t="s">
        <v>201</v>
      </c>
      <c r="G6" s="232"/>
      <c r="H6" s="81"/>
      <c r="I6">
        <v>2</v>
      </c>
      <c r="J6" s="74"/>
    </row>
    <row r="7" spans="1:11" ht="78" customHeight="1" thickBot="1">
      <c r="A7" s="77" t="s">
        <v>125</v>
      </c>
      <c r="B7" s="68" t="s">
        <v>249</v>
      </c>
      <c r="C7" s="76" t="s">
        <v>421</v>
      </c>
      <c r="D7" s="213"/>
      <c r="E7" s="57" t="s">
        <v>15</v>
      </c>
      <c r="F7" s="75" t="s">
        <v>202</v>
      </c>
      <c r="G7" s="232"/>
      <c r="H7" s="81"/>
      <c r="I7">
        <v>3</v>
      </c>
      <c r="J7" s="74"/>
    </row>
    <row r="8" spans="1:11" ht="78" customHeight="1" thickBot="1">
      <c r="A8" s="78" t="s">
        <v>153</v>
      </c>
      <c r="B8" s="28" t="s">
        <v>466</v>
      </c>
      <c r="C8" s="76" t="s">
        <v>467</v>
      </c>
      <c r="D8" s="121" t="str" cm="1">
        <f t="array" ref="D8">IFERROR(_xlfn.IFS(AND(D5="oui",OR(D6="non",D6=""),OR(D7="non",D7="")),"régie",D5="non","gestion contractualisée"),"gestion mixte")</f>
        <v>gestion mixte</v>
      </c>
      <c r="E8" s="57"/>
      <c r="F8" s="75"/>
      <c r="G8" s="232"/>
      <c r="H8" s="82"/>
      <c r="J8" s="74"/>
    </row>
    <row r="9" spans="1:11" ht="58.2" thickBot="1">
      <c r="A9" s="78" t="s">
        <v>125</v>
      </c>
      <c r="B9" s="63" t="s">
        <v>61</v>
      </c>
      <c r="C9" s="76" t="s">
        <v>203</v>
      </c>
      <c r="D9" s="213"/>
      <c r="E9" s="57" t="s">
        <v>20</v>
      </c>
      <c r="F9" s="75" t="s">
        <v>190</v>
      </c>
      <c r="G9" s="232"/>
      <c r="H9" s="82" t="str">
        <f>IF(D9&gt;('activité de contrôle'!D5+'activité de contrôle'!D12),"erreur","")</f>
        <v/>
      </c>
      <c r="I9" s="1"/>
      <c r="J9" s="7"/>
    </row>
    <row r="10" spans="1:11" ht="43.8" thickBot="1">
      <c r="A10" s="78" t="s">
        <v>153</v>
      </c>
      <c r="B10" s="63" t="s">
        <v>140</v>
      </c>
      <c r="C10" s="76" t="s">
        <v>204</v>
      </c>
      <c r="D10" s="121" t="str">
        <f>IFERROR(D9/('activité de contrôle'!D5+'activité de contrôle'!D12),"")</f>
        <v/>
      </c>
      <c r="E10" s="57" t="s">
        <v>6</v>
      </c>
      <c r="F10" s="75" t="s">
        <v>141</v>
      </c>
      <c r="G10" s="213"/>
      <c r="H10" s="81"/>
      <c r="I10" s="1"/>
      <c r="J10" s="4"/>
    </row>
    <row r="11" spans="1:11" ht="43.8" thickBot="1">
      <c r="A11" s="78" t="s">
        <v>125</v>
      </c>
      <c r="B11" s="63" t="s">
        <v>62</v>
      </c>
      <c r="C11" s="76" t="s">
        <v>320</v>
      </c>
      <c r="D11" s="230"/>
      <c r="E11" s="57" t="s">
        <v>20</v>
      </c>
      <c r="F11" s="75"/>
      <c r="G11" s="232"/>
      <c r="H11" s="65" t="str">
        <f>IF(SUM(D11:D15)&gt;D9,"erreur","")</f>
        <v/>
      </c>
    </row>
    <row r="12" spans="1:11" ht="29.4" thickBot="1">
      <c r="A12" s="78" t="s">
        <v>125</v>
      </c>
      <c r="B12" s="63" t="s">
        <v>63</v>
      </c>
      <c r="C12" s="76" t="s">
        <v>321</v>
      </c>
      <c r="D12" s="230"/>
      <c r="E12" s="57" t="s">
        <v>20</v>
      </c>
      <c r="F12" s="75"/>
      <c r="G12" s="232"/>
      <c r="H12" s="66"/>
    </row>
    <row r="13" spans="1:11" ht="43.8" thickBot="1">
      <c r="A13" s="78" t="s">
        <v>125</v>
      </c>
      <c r="B13" s="63" t="s">
        <v>64</v>
      </c>
      <c r="C13" s="76" t="s">
        <v>322</v>
      </c>
      <c r="D13" s="230"/>
      <c r="E13" s="57" t="s">
        <v>20</v>
      </c>
      <c r="F13" s="75"/>
      <c r="G13" s="232"/>
      <c r="H13" s="66"/>
    </row>
    <row r="14" spans="1:11" ht="15" thickBot="1">
      <c r="A14" s="78" t="s">
        <v>125</v>
      </c>
      <c r="B14" s="63" t="s">
        <v>65</v>
      </c>
      <c r="C14" s="76" t="s">
        <v>323</v>
      </c>
      <c r="D14" s="230"/>
      <c r="E14" s="57" t="s">
        <v>20</v>
      </c>
      <c r="F14" s="75"/>
      <c r="G14" s="232"/>
      <c r="H14" s="66"/>
    </row>
    <row r="15" spans="1:11" ht="15" thickBot="1">
      <c r="A15" s="78" t="s">
        <v>125</v>
      </c>
      <c r="B15" s="63" t="s">
        <v>66</v>
      </c>
      <c r="C15" s="76" t="s">
        <v>324</v>
      </c>
      <c r="D15" s="230"/>
      <c r="E15" s="57" t="s">
        <v>20</v>
      </c>
      <c r="F15" s="75"/>
      <c r="G15" s="232"/>
      <c r="H15" s="64"/>
    </row>
    <row r="16" spans="1:11" ht="121.2" customHeight="1" thickBot="1">
      <c r="A16" s="78" t="s">
        <v>125</v>
      </c>
      <c r="B16" s="63" t="s">
        <v>67</v>
      </c>
      <c r="C16" s="76" t="s">
        <v>325</v>
      </c>
      <c r="D16" s="213"/>
      <c r="E16" s="57" t="s">
        <v>15</v>
      </c>
      <c r="F16" s="75"/>
      <c r="G16" s="232"/>
      <c r="H16" s="82"/>
    </row>
    <row r="17" spans="1:11" ht="15" customHeight="1" thickBot="1">
      <c r="A17" s="165"/>
      <c r="B17" s="160" t="s">
        <v>114</v>
      </c>
      <c r="C17" s="168"/>
      <c r="D17" s="290"/>
      <c r="E17" s="166"/>
      <c r="F17" s="166"/>
      <c r="G17" s="166"/>
      <c r="H17" s="167"/>
    </row>
    <row r="18" spans="1:11" ht="58.2" thickBot="1">
      <c r="A18" s="27" t="s">
        <v>126</v>
      </c>
      <c r="B18" s="72" t="s">
        <v>68</v>
      </c>
      <c r="C18" s="76" t="s">
        <v>120</v>
      </c>
      <c r="D18" s="216"/>
      <c r="E18" s="16" t="s">
        <v>179</v>
      </c>
      <c r="F18" s="11" t="s">
        <v>331</v>
      </c>
      <c r="G18" s="233"/>
      <c r="H18" s="82" t="str">
        <f>IF(D18&lt;(D19+D20),"erreur","")</f>
        <v/>
      </c>
      <c r="K18" s="18"/>
    </row>
    <row r="19" spans="1:11" ht="37.799999999999997" customHeight="1">
      <c r="A19" s="79" t="s">
        <v>126</v>
      </c>
      <c r="B19" s="67" t="s">
        <v>69</v>
      </c>
      <c r="C19" s="190" t="s">
        <v>326</v>
      </c>
      <c r="D19" s="221"/>
      <c r="E19" s="57" t="s">
        <v>179</v>
      </c>
      <c r="F19" s="47"/>
      <c r="G19" s="232"/>
      <c r="H19" s="82"/>
    </row>
    <row r="20" spans="1:11">
      <c r="A20" s="79" t="s">
        <v>126</v>
      </c>
      <c r="B20" s="67" t="s">
        <v>70</v>
      </c>
      <c r="C20" s="51" t="s">
        <v>327</v>
      </c>
      <c r="D20" s="221"/>
      <c r="E20" s="57" t="s">
        <v>179</v>
      </c>
      <c r="F20" s="47"/>
      <c r="G20" s="232"/>
      <c r="H20" s="81"/>
    </row>
    <row r="21" spans="1:11" ht="44.4" customHeight="1">
      <c r="A21" s="79" t="s">
        <v>153</v>
      </c>
      <c r="B21" s="67" t="s">
        <v>357</v>
      </c>
      <c r="C21" s="48" t="s">
        <v>121</v>
      </c>
      <c r="D21" s="119" t="str">
        <f>IFERROR(Contexte!D6/'Organisation du service'!D18,"")</f>
        <v/>
      </c>
      <c r="E21" s="57" t="s">
        <v>107</v>
      </c>
      <c r="F21" s="47" t="s">
        <v>332</v>
      </c>
      <c r="G21" s="232"/>
      <c r="H21" s="81"/>
    </row>
    <row r="22" spans="1:11" ht="28.8">
      <c r="A22" s="169" t="s">
        <v>153</v>
      </c>
      <c r="B22" s="10" t="s">
        <v>358</v>
      </c>
      <c r="C22" s="59" t="s">
        <v>123</v>
      </c>
      <c r="D22" s="158" t="str">
        <f>IFERROR('activité de contrôle'!D21/'Organisation du service'!D18,"")</f>
        <v/>
      </c>
      <c r="E22" s="9" t="s">
        <v>71</v>
      </c>
      <c r="F22" s="60" t="s">
        <v>475</v>
      </c>
      <c r="G22" s="234"/>
      <c r="H22" s="12"/>
    </row>
    <row r="23" spans="1:11" ht="43.2">
      <c r="A23" s="169" t="s">
        <v>125</v>
      </c>
      <c r="B23" s="47" t="s">
        <v>441</v>
      </c>
      <c r="C23" s="48" t="s">
        <v>442</v>
      </c>
      <c r="D23" s="221"/>
      <c r="E23" s="57" t="s">
        <v>15</v>
      </c>
      <c r="F23" s="47"/>
      <c r="G23" s="213"/>
      <c r="H23" s="81"/>
    </row>
    <row r="24" spans="1:11" ht="15" customHeight="1">
      <c r="B24" s="173" t="s">
        <v>115</v>
      </c>
      <c r="C24" s="173"/>
      <c r="D24" s="291"/>
      <c r="E24" s="172"/>
      <c r="F24" s="172"/>
      <c r="G24" s="172"/>
      <c r="H24" s="172"/>
    </row>
    <row r="25" spans="1:11" ht="57.6">
      <c r="A25" s="79" t="s">
        <v>126</v>
      </c>
      <c r="B25" s="67" t="s">
        <v>72</v>
      </c>
      <c r="C25" s="52" t="s">
        <v>151</v>
      </c>
      <c r="D25" s="221" t="str">
        <f>IF(D26+D27+D28=0,"",D26+D27+D28)</f>
        <v/>
      </c>
      <c r="E25" s="57" t="s">
        <v>73</v>
      </c>
      <c r="F25" s="75" t="s">
        <v>372</v>
      </c>
      <c r="G25" s="232"/>
      <c r="H25" s="81"/>
    </row>
    <row r="26" spans="1:11" ht="43.2">
      <c r="A26" s="79" t="s">
        <v>126</v>
      </c>
      <c r="B26" s="72" t="s">
        <v>74</v>
      </c>
      <c r="C26" s="191" t="s">
        <v>371</v>
      </c>
      <c r="D26" s="231"/>
      <c r="E26" s="57" t="s">
        <v>73</v>
      </c>
      <c r="F26" s="171" t="s">
        <v>373</v>
      </c>
      <c r="G26" s="233"/>
      <c r="H26" s="82"/>
    </row>
    <row r="27" spans="1:11">
      <c r="A27" s="170" t="s">
        <v>126</v>
      </c>
      <c r="B27" s="67" t="s">
        <v>75</v>
      </c>
      <c r="C27" s="191" t="s">
        <v>328</v>
      </c>
      <c r="D27" s="231"/>
      <c r="E27" s="16" t="s">
        <v>73</v>
      </c>
      <c r="F27" s="171"/>
      <c r="G27" s="233"/>
      <c r="H27" s="82"/>
    </row>
    <row r="28" spans="1:11">
      <c r="A28" s="79" t="s">
        <v>126</v>
      </c>
      <c r="B28" s="67" t="s">
        <v>77</v>
      </c>
      <c r="C28" s="51" t="s">
        <v>329</v>
      </c>
      <c r="D28" s="221"/>
      <c r="E28" s="57" t="s">
        <v>73</v>
      </c>
      <c r="F28" s="75" t="s">
        <v>76</v>
      </c>
      <c r="G28" s="232"/>
      <c r="H28" s="82"/>
    </row>
    <row r="29" spans="1:11" ht="43.2">
      <c r="A29" s="79" t="s">
        <v>126</v>
      </c>
      <c r="B29" s="67" t="s">
        <v>370</v>
      </c>
      <c r="C29" s="51" t="s">
        <v>478</v>
      </c>
      <c r="D29" s="221"/>
      <c r="E29" s="57" t="s">
        <v>73</v>
      </c>
      <c r="F29" s="75" t="s">
        <v>387</v>
      </c>
      <c r="G29" s="232"/>
      <c r="H29" s="81"/>
    </row>
    <row r="30" spans="1:11" ht="64.8" customHeight="1">
      <c r="A30" s="79" t="s">
        <v>126</v>
      </c>
      <c r="B30" s="67" t="s">
        <v>150</v>
      </c>
      <c r="C30" s="52" t="s">
        <v>330</v>
      </c>
      <c r="D30" s="237" t="str">
        <f>IF(D26+D27+D28+D29=0,"",D26+D27+D28+D29)</f>
        <v/>
      </c>
      <c r="E30" s="57" t="s">
        <v>73</v>
      </c>
      <c r="F30" s="75" t="s">
        <v>374</v>
      </c>
      <c r="G30" s="232"/>
      <c r="H30" s="81"/>
    </row>
    <row r="31" spans="1:11" ht="64.8" customHeight="1">
      <c r="A31" s="79" t="s">
        <v>153</v>
      </c>
      <c r="B31" s="67" t="s">
        <v>251</v>
      </c>
      <c r="C31" s="52" t="s">
        <v>185</v>
      </c>
      <c r="D31" s="174" t="str">
        <f>IFERROR('Aspects financiers'!D14/'Organisation du service'!D30,"")</f>
        <v/>
      </c>
      <c r="E31" s="57" t="s">
        <v>177</v>
      </c>
      <c r="F31" s="75" t="s">
        <v>178</v>
      </c>
      <c r="G31" s="232"/>
      <c r="H31" s="81"/>
    </row>
    <row r="32" spans="1:11" ht="43.2">
      <c r="A32" s="79" t="s">
        <v>126</v>
      </c>
      <c r="B32" s="67" t="s">
        <v>78</v>
      </c>
      <c r="C32" s="48" t="s">
        <v>184</v>
      </c>
      <c r="D32" s="213"/>
      <c r="E32" s="57" t="s">
        <v>79</v>
      </c>
      <c r="F32" s="75"/>
      <c r="G32" s="232"/>
      <c r="H32" s="81"/>
    </row>
    <row r="33" spans="1:9" ht="28.8">
      <c r="A33" s="79" t="s">
        <v>125</v>
      </c>
      <c r="B33" s="67" t="s">
        <v>84</v>
      </c>
      <c r="C33" s="48" t="s">
        <v>85</v>
      </c>
      <c r="D33" s="213"/>
      <c r="E33" s="57" t="s">
        <v>15</v>
      </c>
      <c r="F33" s="75"/>
      <c r="G33" s="232"/>
      <c r="H33" s="82"/>
      <c r="I33">
        <f>IF(D33="oui",1,0)</f>
        <v>0</v>
      </c>
    </row>
    <row r="34" spans="1:9" ht="28.8">
      <c r="A34" s="79" t="s">
        <v>125</v>
      </c>
      <c r="B34" s="67" t="s">
        <v>86</v>
      </c>
      <c r="C34" s="48" t="s">
        <v>87</v>
      </c>
      <c r="D34" s="213"/>
      <c r="E34" s="57" t="s">
        <v>15</v>
      </c>
      <c r="F34" s="75"/>
      <c r="G34" s="232"/>
      <c r="H34" s="82"/>
      <c r="I34">
        <f t="shared" ref="I34:I35" si="0">IF(D34="oui",1,0)</f>
        <v>0</v>
      </c>
    </row>
    <row r="35" spans="1:9" ht="43.2">
      <c r="A35" s="79" t="s">
        <v>125</v>
      </c>
      <c r="B35" s="67" t="s">
        <v>88</v>
      </c>
      <c r="C35" s="48" t="s">
        <v>89</v>
      </c>
      <c r="D35" s="213"/>
      <c r="E35" s="57" t="s">
        <v>15</v>
      </c>
      <c r="F35" s="75" t="s">
        <v>425</v>
      </c>
      <c r="G35" s="232"/>
      <c r="H35" s="82"/>
      <c r="I35">
        <f t="shared" si="0"/>
        <v>0</v>
      </c>
    </row>
    <row r="36" spans="1:9" hidden="1">
      <c r="A36" s="79" t="s">
        <v>153</v>
      </c>
      <c r="B36" s="37" t="s">
        <v>422</v>
      </c>
      <c r="C36" s="38"/>
      <c r="D36" s="236">
        <f>IF(D33="oui",1,0)</f>
        <v>0</v>
      </c>
      <c r="E36" s="57"/>
      <c r="F36" s="75"/>
      <c r="G36" s="232"/>
      <c r="H36" s="82"/>
    </row>
    <row r="37" spans="1:9" hidden="1">
      <c r="A37" s="79" t="s">
        <v>153</v>
      </c>
      <c r="B37" s="37" t="s">
        <v>423</v>
      </c>
      <c r="C37" s="38"/>
      <c r="D37" s="236">
        <f t="shared" ref="D37:D38" si="1">IF(D34="oui",1,0)</f>
        <v>0</v>
      </c>
      <c r="E37" s="57"/>
      <c r="F37" s="75"/>
      <c r="G37" s="232"/>
      <c r="H37" s="82"/>
    </row>
    <row r="38" spans="1:9" ht="15" hidden="1" thickBot="1">
      <c r="A38" s="79" t="s">
        <v>153</v>
      </c>
      <c r="B38" s="37" t="s">
        <v>424</v>
      </c>
      <c r="C38" s="39"/>
      <c r="D38" s="236">
        <f t="shared" si="1"/>
        <v>0</v>
      </c>
      <c r="E38" s="57"/>
      <c r="F38" s="75"/>
      <c r="G38" s="232"/>
      <c r="H38" s="82"/>
    </row>
    <row r="39" spans="1:9" ht="28.8">
      <c r="A39" s="79" t="s">
        <v>153</v>
      </c>
      <c r="B39" s="67" t="s">
        <v>80</v>
      </c>
      <c r="C39" s="48" t="s">
        <v>81</v>
      </c>
      <c r="D39" s="115">
        <f>SUM(D36:D38)</f>
        <v>0</v>
      </c>
      <c r="E39" s="57" t="s">
        <v>82</v>
      </c>
      <c r="F39" s="75" t="s">
        <v>83</v>
      </c>
      <c r="G39" s="232"/>
      <c r="H39" s="82"/>
    </row>
    <row r="40" spans="1:9" ht="43.2" hidden="1">
      <c r="A40" s="79" t="s">
        <v>153</v>
      </c>
      <c r="B40" s="67" t="s">
        <v>457</v>
      </c>
      <c r="C40" s="48" t="s">
        <v>458</v>
      </c>
      <c r="D40" s="236" t="str">
        <f>IF(_xlfn.XLOOKUP("VOS400",'Organisation du service'!B:B,'Organisation du service'!D:D)&lt;&gt;"",_xlfn.XLOOKUP("VC100",'activité de contrôle'!B:B,'activité de contrôle'!D:D),"")</f>
        <v/>
      </c>
    </row>
    <row r="41" spans="1:9" ht="43.2" hidden="1">
      <c r="A41" s="79" t="s">
        <v>153</v>
      </c>
      <c r="B41" s="67" t="s">
        <v>459</v>
      </c>
      <c r="C41" s="48" t="s">
        <v>463</v>
      </c>
      <c r="D41" s="236" t="str">
        <f>IFERROR(_xlfn.XLOOKUP("VOS400",B:B,D:D)*_xlfn.XLOOKUP("VC100",'activité de contrôle'!B:B,'activité de contrôle'!D:D),"")</f>
        <v/>
      </c>
    </row>
    <row r="42" spans="1:9" ht="28.8" hidden="1">
      <c r="A42" s="79" t="s">
        <v>153</v>
      </c>
      <c r="B42" s="67" t="s">
        <v>460</v>
      </c>
      <c r="C42" s="48" t="s">
        <v>450</v>
      </c>
      <c r="D42" s="236">
        <f>IFERROR(_xlfn.XLOOKUP("VOS401",B:B,D:D)*_xlfn.XLOOKUP("VC100",'activité de contrôle'!B:B,'activité de contrôle'!D:D),"")</f>
        <v>0</v>
      </c>
    </row>
    <row r="43" spans="1:9" ht="28.8" hidden="1">
      <c r="A43" s="79" t="s">
        <v>153</v>
      </c>
      <c r="B43" s="67" t="s">
        <v>461</v>
      </c>
      <c r="C43" s="48" t="s">
        <v>450</v>
      </c>
      <c r="D43" s="236">
        <f>IFERROR(_xlfn.XLOOKUP("VOS402",B:B,D:D)*_xlfn.XLOOKUP("VC100",'activité de contrôle'!B:B,'activité de contrôle'!D:D),"")</f>
        <v>0</v>
      </c>
    </row>
    <row r="44" spans="1:9" ht="28.8" hidden="1">
      <c r="A44" s="79" t="s">
        <v>153</v>
      </c>
      <c r="B44" s="67" t="s">
        <v>462</v>
      </c>
      <c r="C44" s="48" t="s">
        <v>450</v>
      </c>
      <c r="D44" s="236">
        <f>IFERROR(_xlfn.XLOOKUP("VOS403",B:B,D:D)*_xlfn.XLOOKUP("VC100",'activité de contrôle'!B:B,'activité de contrôle'!D:D),"")</f>
        <v>0</v>
      </c>
    </row>
    <row r="45" spans="1:9" hidden="1">
      <c r="A45" s="79"/>
      <c r="B45" s="67"/>
      <c r="C45" s="48"/>
      <c r="D45" s="115"/>
    </row>
  </sheetData>
  <sheetProtection algorithmName="SHA-512" hashValue="DBopLNkxkY+93j0r9NCXeysedsHl9e21vUk34/e4XYZfNZZfbYmtnIQoLmE0zELjPCrVzhQQkKHUGyKhSGL22g==" saltValue="ZlXAKTFjddp0qte03GXI9g==" spinCount="100000" sheet="1" formatCells="0" formatColumns="0" formatRows="0"/>
  <dataValidations disablePrompts="1" count="1">
    <dataValidation type="list" allowBlank="1" showInputMessage="1" showErrorMessage="1" sqref="D23" xr:uid="{441166F1-BD4E-4830-92E4-4348F900A82E}">
      <formula1>"oui,non"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BF72E596-0B90-4FCA-950E-F20AABEEF9D2}">
          <x14:formula1>
            <xm:f>Notice!$R$1:$R$2</xm:f>
          </x14:formula1>
          <xm:sqref>D33:D35 D5:D7</xm:sqref>
        </x14:dataValidation>
        <x14:dataValidation type="list" allowBlank="1" showInputMessage="1" showErrorMessage="1" xr:uid="{3E189714-DFFC-4ECA-843B-2BA7DCCE9BC9}">
          <x14:formula1>
            <xm:f>Notice!$R$1:$R$3</xm:f>
          </x14:formula1>
          <xm:sqref>D16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95C71-1A89-470B-940E-2422D00FE690}">
  <sheetPr codeName="Feuil6"/>
  <dimension ref="A1:I30"/>
  <sheetViews>
    <sheetView topLeftCell="A7" zoomScaleNormal="100" workbookViewId="0">
      <selection activeCell="J22" sqref="J22"/>
    </sheetView>
  </sheetViews>
  <sheetFormatPr baseColWidth="10" defaultRowHeight="14.4"/>
  <cols>
    <col min="1" max="1" width="12" customWidth="1"/>
    <col min="3" max="3" width="20.88671875" customWidth="1"/>
    <col min="4" max="4" width="15.5546875" customWidth="1"/>
    <col min="5" max="5" width="13.33203125" customWidth="1"/>
    <col min="6" max="6" width="23.6640625" customWidth="1"/>
    <col min="7" max="7" width="24.21875" style="286" customWidth="1"/>
    <col min="8" max="8" width="26.5546875" customWidth="1"/>
    <col min="9" max="9" width="0" hidden="1" customWidth="1"/>
  </cols>
  <sheetData>
    <row r="1" spans="1:9" ht="28.8">
      <c r="B1" s="97" t="s">
        <v>90</v>
      </c>
      <c r="C1" s="98"/>
      <c r="D1" s="98"/>
    </row>
    <row r="2" spans="1:9" ht="15" thickBot="1"/>
    <row r="3" spans="1:9" ht="28.8">
      <c r="A3" s="192" t="s">
        <v>333</v>
      </c>
      <c r="B3" s="181" t="s">
        <v>0</v>
      </c>
      <c r="C3" s="128" t="s">
        <v>1</v>
      </c>
      <c r="D3" s="128" t="s">
        <v>101</v>
      </c>
      <c r="E3" s="128" t="s">
        <v>18</v>
      </c>
      <c r="F3" s="128" t="s">
        <v>3</v>
      </c>
      <c r="G3" s="287" t="s">
        <v>103</v>
      </c>
      <c r="H3" s="129" t="s">
        <v>102</v>
      </c>
    </row>
    <row r="4" spans="1:9">
      <c r="A4" s="193"/>
      <c r="B4" s="173" t="s">
        <v>456</v>
      </c>
      <c r="C4" s="173"/>
      <c r="D4" s="180"/>
      <c r="E4" s="180"/>
      <c r="F4" s="180"/>
      <c r="G4" s="288"/>
      <c r="H4" s="180"/>
    </row>
    <row r="5" spans="1:9" ht="69" customHeight="1">
      <c r="A5" s="170" t="s">
        <v>125</v>
      </c>
      <c r="B5" s="28" t="s">
        <v>142</v>
      </c>
      <c r="C5" s="73" t="s">
        <v>156</v>
      </c>
      <c r="D5" s="216"/>
      <c r="E5" s="16" t="s">
        <v>96</v>
      </c>
      <c r="F5" s="33" t="s">
        <v>205</v>
      </c>
      <c r="G5" s="216"/>
      <c r="H5" s="19"/>
    </row>
    <row r="6" spans="1:9" ht="69.599999999999994" customHeight="1">
      <c r="A6" s="79" t="str">
        <f>A5</f>
        <v>Obligatoire</v>
      </c>
      <c r="B6" s="28" t="s">
        <v>143</v>
      </c>
      <c r="C6" s="73" t="s">
        <v>157</v>
      </c>
      <c r="D6" s="216"/>
      <c r="E6" s="16" t="s">
        <v>96</v>
      </c>
      <c r="F6" s="34" t="s">
        <v>206</v>
      </c>
      <c r="G6" s="216"/>
      <c r="H6" s="19" t="str">
        <f>IF(D6&lt;D19+D18,"erreur?","")</f>
        <v/>
      </c>
    </row>
    <row r="7" spans="1:9" ht="77.400000000000006" customHeight="1">
      <c r="A7" s="79" t="s">
        <v>153</v>
      </c>
      <c r="B7" s="28" t="s">
        <v>171</v>
      </c>
      <c r="C7" s="73" t="s">
        <v>334</v>
      </c>
      <c r="D7" s="156" t="str">
        <f>IFERROR((D5*1000)/Contexte!D6,"")</f>
        <v/>
      </c>
      <c r="E7" s="16" t="s">
        <v>172</v>
      </c>
      <c r="F7" s="47" t="s">
        <v>175</v>
      </c>
      <c r="G7" s="216"/>
      <c r="H7" s="19"/>
    </row>
    <row r="8" spans="1:9" ht="77.400000000000006" customHeight="1">
      <c r="A8" s="79" t="s">
        <v>153</v>
      </c>
      <c r="B8" s="28" t="s">
        <v>173</v>
      </c>
      <c r="C8" s="73" t="s">
        <v>429</v>
      </c>
      <c r="D8" s="156" t="str">
        <f>IFERROR((D5*1000)/('activité de contrôle'!D12+'activité de contrôle'!D5),"")</f>
        <v/>
      </c>
      <c r="E8" s="16" t="s">
        <v>174</v>
      </c>
      <c r="F8" s="47" t="s">
        <v>431</v>
      </c>
      <c r="G8" s="216"/>
      <c r="H8" s="19"/>
    </row>
    <row r="9" spans="1:9" ht="77.400000000000006" customHeight="1">
      <c r="A9" s="79" t="s">
        <v>153</v>
      </c>
      <c r="B9" s="28" t="s">
        <v>426</v>
      </c>
      <c r="C9" s="73" t="s">
        <v>428</v>
      </c>
      <c r="D9" s="156" t="str">
        <f>IFERROR((D6*1000)/Contexte!D6,"")</f>
        <v/>
      </c>
      <c r="E9" s="16" t="s">
        <v>172</v>
      </c>
      <c r="F9" s="47" t="s">
        <v>432</v>
      </c>
      <c r="G9" s="216"/>
      <c r="H9" s="19"/>
    </row>
    <row r="10" spans="1:9" ht="77.400000000000006" customHeight="1">
      <c r="A10" s="79" t="s">
        <v>153</v>
      </c>
      <c r="B10" s="28" t="s">
        <v>427</v>
      </c>
      <c r="C10" s="73" t="s">
        <v>430</v>
      </c>
      <c r="D10" s="156" t="str">
        <f>IFERROR((D6*1000)/'activité de contrôle'!D21,"")</f>
        <v/>
      </c>
      <c r="E10" s="16" t="s">
        <v>174</v>
      </c>
      <c r="F10" s="47" t="s">
        <v>433</v>
      </c>
      <c r="G10" s="216"/>
      <c r="H10" s="19"/>
    </row>
    <row r="11" spans="1:9">
      <c r="A11" s="194"/>
      <c r="B11" s="137" t="s">
        <v>253</v>
      </c>
      <c r="C11" s="138"/>
      <c r="D11" s="105"/>
      <c r="E11" s="157"/>
      <c r="F11" s="83"/>
      <c r="G11" s="289"/>
      <c r="H11" s="182"/>
    </row>
    <row r="12" spans="1:9" ht="106.2" customHeight="1">
      <c r="A12" s="79" t="s">
        <v>125</v>
      </c>
      <c r="B12" s="28" t="s">
        <v>170</v>
      </c>
      <c r="C12" s="73" t="s">
        <v>169</v>
      </c>
      <c r="D12" s="216"/>
      <c r="E12" s="16" t="s">
        <v>47</v>
      </c>
      <c r="F12" s="47" t="s">
        <v>338</v>
      </c>
      <c r="G12" s="216"/>
      <c r="H12" s="19"/>
      <c r="I12">
        <v>1</v>
      </c>
    </row>
    <row r="13" spans="1:9" ht="99" customHeight="1">
      <c r="A13" s="79" t="s">
        <v>125</v>
      </c>
      <c r="B13" s="28" t="s">
        <v>445</v>
      </c>
      <c r="C13" s="73" t="s">
        <v>473</v>
      </c>
      <c r="D13" s="216"/>
      <c r="E13" s="16" t="s">
        <v>92</v>
      </c>
      <c r="F13" s="47"/>
      <c r="G13" s="216"/>
      <c r="H13" s="19"/>
      <c r="I13">
        <v>2</v>
      </c>
    </row>
    <row r="14" spans="1:9" ht="43.2">
      <c r="A14" s="79" t="s">
        <v>153</v>
      </c>
      <c r="B14" s="29" t="s">
        <v>335</v>
      </c>
      <c r="C14" s="48" t="s">
        <v>91</v>
      </c>
      <c r="D14" s="119" t="str" cm="1">
        <f t="array" ref="D14">_xlfn.IFS(D12="facturation en une fois après le contrôle",D13,D12="redevance annualisée",D13*'activité de contrôle'!D42,D12="","")</f>
        <v/>
      </c>
      <c r="E14" s="57" t="s">
        <v>92</v>
      </c>
      <c r="F14" s="47"/>
      <c r="G14" s="213"/>
      <c r="H14" s="20" t="str">
        <f>IF(AND('activité de contrôle'!D42="",'Aspects financiers'!D12=2),"périodicité des contrôles à compléter - onglet activité de contrôle","")</f>
        <v/>
      </c>
    </row>
    <row r="15" spans="1:9" ht="43.2">
      <c r="A15" s="79" t="s">
        <v>125</v>
      </c>
      <c r="B15" s="63" t="s">
        <v>362</v>
      </c>
      <c r="C15" s="51" t="s">
        <v>474</v>
      </c>
      <c r="D15" s="221"/>
      <c r="E15" s="57" t="s">
        <v>92</v>
      </c>
      <c r="F15" s="47" t="s">
        <v>454</v>
      </c>
      <c r="G15" s="213"/>
      <c r="H15" s="21"/>
    </row>
    <row r="16" spans="1:9" ht="43.2">
      <c r="A16" s="79" t="s">
        <v>125</v>
      </c>
      <c r="B16" s="63" t="s">
        <v>361</v>
      </c>
      <c r="C16" s="48" t="s">
        <v>93</v>
      </c>
      <c r="D16" s="213"/>
      <c r="E16" s="57" t="s">
        <v>92</v>
      </c>
      <c r="F16" s="47"/>
      <c r="G16" s="213"/>
      <c r="H16" s="21"/>
    </row>
    <row r="17" spans="1:8" ht="43.2">
      <c r="A17" s="79" t="s">
        <v>125</v>
      </c>
      <c r="B17" s="63" t="s">
        <v>360</v>
      </c>
      <c r="C17" s="48" t="s">
        <v>94</v>
      </c>
      <c r="D17" s="213"/>
      <c r="E17" s="57" t="s">
        <v>92</v>
      </c>
      <c r="F17" s="47"/>
      <c r="G17" s="213"/>
      <c r="H17" s="21"/>
    </row>
    <row r="18" spans="1:8" ht="43.2">
      <c r="A18" s="79" t="s">
        <v>126</v>
      </c>
      <c r="B18" s="63" t="s">
        <v>359</v>
      </c>
      <c r="C18" s="48" t="s">
        <v>95</v>
      </c>
      <c r="D18" s="213"/>
      <c r="E18" s="57" t="s">
        <v>96</v>
      </c>
      <c r="F18" s="47"/>
      <c r="G18" s="213"/>
      <c r="H18" s="21"/>
    </row>
    <row r="19" spans="1:8" ht="30" customHeight="1">
      <c r="A19" s="79" t="s">
        <v>126</v>
      </c>
      <c r="B19" s="63" t="s">
        <v>143</v>
      </c>
      <c r="C19" s="48" t="s">
        <v>97</v>
      </c>
      <c r="D19" s="213"/>
      <c r="E19" s="57" t="s">
        <v>96</v>
      </c>
      <c r="F19" s="47" t="s">
        <v>98</v>
      </c>
      <c r="G19" s="213"/>
      <c r="H19" s="21"/>
    </row>
    <row r="20" spans="1:8">
      <c r="A20" s="194"/>
      <c r="B20" s="137" t="s">
        <v>455</v>
      </c>
      <c r="C20" s="138"/>
      <c r="D20" s="285"/>
      <c r="E20" s="157"/>
      <c r="F20" s="83"/>
      <c r="G20" s="289"/>
      <c r="H20" s="182"/>
    </row>
    <row r="21" spans="1:8" ht="99.6" customHeight="1">
      <c r="A21" s="79" t="s">
        <v>126</v>
      </c>
      <c r="B21" s="63" t="s">
        <v>144</v>
      </c>
      <c r="C21" s="48" t="s">
        <v>336</v>
      </c>
      <c r="D21" s="213"/>
      <c r="E21" s="57" t="s">
        <v>96</v>
      </c>
      <c r="F21" s="47"/>
      <c r="G21" s="213"/>
      <c r="H21" s="21"/>
    </row>
    <row r="22" spans="1:8" ht="83.4" customHeight="1">
      <c r="A22" s="79" t="s">
        <v>126</v>
      </c>
      <c r="B22" s="63" t="s">
        <v>146</v>
      </c>
      <c r="C22" s="48" t="s">
        <v>152</v>
      </c>
      <c r="D22" s="213"/>
      <c r="E22" s="57" t="s">
        <v>96</v>
      </c>
      <c r="F22" s="47"/>
      <c r="G22" s="213"/>
      <c r="H22" s="21"/>
    </row>
    <row r="23" spans="1:8" ht="97.2" customHeight="1">
      <c r="A23" s="79" t="s">
        <v>153</v>
      </c>
      <c r="B23" s="63" t="s">
        <v>154</v>
      </c>
      <c r="C23" s="48" t="s">
        <v>155</v>
      </c>
      <c r="D23" s="121" t="str">
        <f>IFERROR(D21/D22,"")</f>
        <v/>
      </c>
      <c r="E23" s="57" t="s">
        <v>6</v>
      </c>
      <c r="F23" s="47" t="s">
        <v>176</v>
      </c>
      <c r="G23" s="213"/>
      <c r="H23" s="21"/>
    </row>
    <row r="24" spans="1:8" ht="33" customHeight="1">
      <c r="A24" s="79" t="s">
        <v>125</v>
      </c>
      <c r="B24" s="63" t="s">
        <v>145</v>
      </c>
      <c r="C24" s="48" t="s">
        <v>99</v>
      </c>
      <c r="D24" s="213"/>
      <c r="E24" s="57" t="s">
        <v>15</v>
      </c>
      <c r="F24" s="47"/>
      <c r="G24" s="213"/>
      <c r="H24" s="21"/>
    </row>
    <row r="25" spans="1:8" ht="50.4" customHeight="1" thickBot="1">
      <c r="A25" s="189" t="s">
        <v>126</v>
      </c>
      <c r="B25" s="3" t="s">
        <v>146</v>
      </c>
      <c r="C25" s="32" t="s">
        <v>337</v>
      </c>
      <c r="D25" s="218"/>
      <c r="E25" s="17" t="s">
        <v>92</v>
      </c>
      <c r="F25" s="14"/>
      <c r="G25" s="218"/>
      <c r="H25" s="22"/>
    </row>
    <row r="26" spans="1:8" ht="29.4" thickBot="1">
      <c r="A26" s="79" t="s">
        <v>125</v>
      </c>
      <c r="B26" s="244" t="s">
        <v>443</v>
      </c>
      <c r="C26" s="245" t="s">
        <v>444</v>
      </c>
      <c r="D26" s="246"/>
      <c r="E26" s="17"/>
      <c r="F26" s="14"/>
      <c r="G26" s="218"/>
      <c r="H26" s="22"/>
    </row>
    <row r="27" spans="1:8" hidden="1">
      <c r="A27" s="79" t="s">
        <v>153</v>
      </c>
      <c r="B27" s="79" t="s">
        <v>449</v>
      </c>
      <c r="C27" s="79" t="s">
        <v>450</v>
      </c>
      <c r="D27" s="247" t="e">
        <f>_xlfn.XLOOKUP("DC196",B:B,D:D)*_xlfn.XLOOKUP("VC102",'activité de contrôle'!B:B,'activité de contrôle'!D:D)</f>
        <v>#VALUE!</v>
      </c>
    </row>
    <row r="28" spans="1:8" hidden="1">
      <c r="A28" s="79" t="s">
        <v>153</v>
      </c>
      <c r="B28" s="79" t="s">
        <v>451</v>
      </c>
      <c r="C28" s="79" t="s">
        <v>450</v>
      </c>
      <c r="D28" s="247">
        <f>_xlfn.XLOOKUP("DC196.1",B:B,D:D)*_xlfn.XLOOKUP("VC101",'activité de contrôle'!B:B,'activité de contrôle'!D:D)</f>
        <v>0</v>
      </c>
    </row>
    <row r="29" spans="1:8" hidden="1">
      <c r="A29" s="79" t="s">
        <v>153</v>
      </c>
      <c r="B29" s="79" t="s">
        <v>452</v>
      </c>
      <c r="C29" s="79" t="s">
        <v>450</v>
      </c>
      <c r="D29" s="247">
        <f>_xlfn.XLOOKUP("DC325",B:B,D:D)*_xlfn.XLOOKUP("VC201",'activité de contrôle'!B:B,'activité de contrôle'!D:D)</f>
        <v>0</v>
      </c>
    </row>
    <row r="30" spans="1:8" hidden="1">
      <c r="A30" s="79" t="s">
        <v>153</v>
      </c>
      <c r="B30" s="79" t="s">
        <v>453</v>
      </c>
      <c r="C30" s="79" t="s">
        <v>450</v>
      </c>
      <c r="D30" s="247">
        <f>_xlfn.XLOOKUP("DC326",B:B,D:D)*_xlfn.XLOOKUP("VC202",'activité de contrôle'!B:B,'activité de contrôle'!D:D)</f>
        <v>0</v>
      </c>
    </row>
  </sheetData>
  <sheetProtection algorithmName="SHA-512" hashValue="Bg9DZvZNW2ckn5lTWejxsK9ykxrkOvNukm2B/pZQ7/ifr2RgrPg8uc1VXN4M9XGYMax8u0V6wAD73vZnGiBu5A==" saltValue="pBw3IQK02KDQkVi/YnSmdw==" spinCount="100000" sheet="1" formatCells="0" formatColumns="0" formatRows="0"/>
  <dataValidations count="2">
    <dataValidation type="list" allowBlank="1" showInputMessage="1" showErrorMessage="1" sqref="D12" xr:uid="{CFBB1207-8029-4361-BC5C-AA6ECED8B480}">
      <formula1>"facturation en une fois après le contrôle,redevance annualisée"</formula1>
    </dataValidation>
    <dataValidation type="list" allowBlank="1" showInputMessage="1" showErrorMessage="1" sqref="D26" xr:uid="{B6046939-3C18-402D-8282-E29F89DE9D8B}">
      <formula1>"Budget dédié au SPANC, Budget commun avec l'AC et suivi analytique"</formula1>
    </dataValidation>
  </dataValidations>
  <hyperlinks>
    <hyperlink ref="B14" r:id="rId1" display="http://www.services.eaufrance.fr/indicateurs/dc.196/anc" xr:uid="{767AE0B9-7D2F-4CD1-B00A-3827BD2A8C38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90DF28-8C80-4949-819C-E575705D41A6}">
          <x14:formula1>
            <xm:f>Notice!$R$1:$R$2</xm:f>
          </x14:formula1>
          <xm:sqref>D24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D7A4F-0D51-4C54-B547-6B2BB3A9FFEB}">
  <sheetPr codeName="Feuil7"/>
  <dimension ref="A1:F208"/>
  <sheetViews>
    <sheetView topLeftCell="A36" workbookViewId="0">
      <selection activeCell="F49" sqref="F49"/>
    </sheetView>
  </sheetViews>
  <sheetFormatPr baseColWidth="10" defaultRowHeight="14.4"/>
  <cols>
    <col min="2" max="2" width="85.44140625" customWidth="1"/>
  </cols>
  <sheetData>
    <row r="1" spans="1:5" ht="15" thickBot="1">
      <c r="A1" s="183" t="s">
        <v>0</v>
      </c>
      <c r="B1" s="184" t="s">
        <v>1</v>
      </c>
      <c r="C1" s="185" t="s">
        <v>100</v>
      </c>
      <c r="D1" s="145" t="str">
        <f>Contexte!G5</f>
        <v>Commentaires collectivité</v>
      </c>
      <c r="E1" s="145"/>
    </row>
    <row r="2" spans="1:5" ht="15" thickTop="1">
      <c r="A2" s="13"/>
      <c r="B2" s="186" t="s">
        <v>108</v>
      </c>
      <c r="C2" s="13"/>
    </row>
    <row r="3" spans="1:5">
      <c r="A3" t="s">
        <v>254</v>
      </c>
      <c r="B3" t="s">
        <v>158</v>
      </c>
      <c r="C3" s="13">
        <f>Contexte!B1</f>
        <v>0</v>
      </c>
    </row>
    <row r="4" spans="1:5">
      <c r="A4" t="str">
        <f>Contexte!B6</f>
        <v>DC306</v>
      </c>
      <c r="B4" t="str">
        <f>Contexte!C6</f>
        <v xml:space="preserve">Estimation du nombre d’installations ANC sur le territoire du SPANC </v>
      </c>
      <c r="C4">
        <f>Contexte!D6</f>
        <v>0</v>
      </c>
      <c r="D4">
        <f>Contexte!G6</f>
        <v>0</v>
      </c>
    </row>
    <row r="5" spans="1:5">
      <c r="A5" t="str">
        <f>Contexte!B7</f>
        <v>VP167</v>
      </c>
      <c r="B5" t="str">
        <f>Contexte!C7</f>
        <v>Nombre total d'installations contrôlées au moins une fois depuis la création du service</v>
      </c>
      <c r="C5">
        <f>Contexte!D7</f>
        <v>0</v>
      </c>
      <c r="D5">
        <f>Contexte!G7</f>
        <v>0</v>
      </c>
    </row>
    <row r="6" spans="1:5">
      <c r="A6" t="str">
        <f>Contexte!B8</f>
        <v>DC306.1</v>
      </c>
      <c r="B6" t="str">
        <f>Contexte!C8</f>
        <v>Installations nouvelles mises en service sur l'année N</v>
      </c>
      <c r="C6">
        <f>Contexte!D8</f>
        <v>0</v>
      </c>
      <c r="D6">
        <f>Contexte!G8</f>
        <v>0</v>
      </c>
    </row>
    <row r="7" spans="1:5">
      <c r="A7" t="str">
        <f>Contexte!B9</f>
        <v>DC306.2</v>
      </c>
      <c r="B7" t="str">
        <f>Contexte!C9</f>
        <v>Installations réhabilitées mise en service sur l'année N</v>
      </c>
      <c r="C7">
        <f>Contexte!D9</f>
        <v>0</v>
      </c>
      <c r="D7">
        <f>Contexte!G9</f>
        <v>0</v>
      </c>
    </row>
    <row r="8" spans="1:5">
      <c r="A8" t="str">
        <f>Contexte!B10</f>
        <v>DC306.3</v>
      </c>
      <c r="B8" t="str">
        <f>Contexte!C10</f>
        <v>Nombre d'installations déconnectées</v>
      </c>
      <c r="C8">
        <f>Contexte!D10</f>
        <v>0</v>
      </c>
      <c r="D8">
        <f>Contexte!G10</f>
        <v>0</v>
      </c>
    </row>
    <row r="9" spans="1:5">
      <c r="A9" t="str">
        <f>Contexte!B11</f>
        <v>IPANC1</v>
      </c>
      <c r="B9" t="str">
        <f>Contexte!C11</f>
        <v>Etat des lieux des diagnostics initiaux</v>
      </c>
      <c r="C9" t="str">
        <f>Contexte!D11</f>
        <v/>
      </c>
      <c r="D9">
        <f>Contexte!G11</f>
        <v>0</v>
      </c>
    </row>
    <row r="10" spans="1:5">
      <c r="A10" t="str">
        <f>Contexte!B12</f>
        <v>VANC100</v>
      </c>
      <c r="B10" t="str">
        <f>Contexte!C12</f>
        <v>Année de création du service </v>
      </c>
      <c r="C10">
        <f>Contexte!D12</f>
        <v>0</v>
      </c>
      <c r="D10">
        <f>Contexte!G12</f>
        <v>0</v>
      </c>
    </row>
    <row r="11" spans="1:5">
      <c r="A11" t="str">
        <f>Contexte!B13</f>
        <v>VANC200</v>
      </c>
      <c r="B11" t="str">
        <f>Contexte!C13</f>
        <v>Superficie du territoire de la collectivité</v>
      </c>
      <c r="C11">
        <f>Contexte!D13</f>
        <v>0</v>
      </c>
      <c r="D11">
        <f>Contexte!G13</f>
        <v>0</v>
      </c>
    </row>
    <row r="12" spans="1:5">
      <c r="A12" t="str">
        <f>Contexte!B14</f>
        <v>ICANC1</v>
      </c>
      <c r="B12" t="str">
        <f>Contexte!C14</f>
        <v>Densité des installations ANC</v>
      </c>
      <c r="C12" t="str">
        <f>Contexte!D14</f>
        <v/>
      </c>
      <c r="D12">
        <f>Contexte!G14</f>
        <v>0</v>
      </c>
    </row>
    <row r="13" spans="1:5">
      <c r="A13" t="str">
        <f>Contexte!B15</f>
        <v>VANC300</v>
      </c>
      <c r="B13" t="str">
        <f>Contexte!C15</f>
        <v>Existence de zones à enjeux</v>
      </c>
      <c r="C13">
        <f>Contexte!D15</f>
        <v>0</v>
      </c>
      <c r="D13">
        <f>Contexte!G15</f>
        <v>0</v>
      </c>
    </row>
    <row r="14" spans="1:5">
      <c r="A14" t="str">
        <f>Contexte!B16</f>
        <v>VANC301</v>
      </c>
      <c r="B14" t="str">
        <f>Contexte!C16</f>
        <v>Nombre d’installations concernées par les zones à enjeux</v>
      </c>
      <c r="C14">
        <f>Contexte!D16</f>
        <v>0</v>
      </c>
      <c r="D14">
        <f>Contexte!G16</f>
        <v>0</v>
      </c>
    </row>
    <row r="15" spans="1:5">
      <c r="A15" t="str">
        <f>Contexte!B17</f>
        <v>ICANC2</v>
      </c>
      <c r="B15" t="str">
        <f>Contexte!C17</f>
        <v>Taux d’installations en zone à enjeux</v>
      </c>
      <c r="C15" t="str">
        <f>Contexte!D17</f>
        <v/>
      </c>
      <c r="D15">
        <f>Contexte!G17</f>
        <v>0</v>
      </c>
    </row>
    <row r="16" spans="1:5">
      <c r="A16">
        <f>Contexte!B18</f>
        <v>0</v>
      </c>
      <c r="B16">
        <f>Contexte!C18</f>
        <v>0</v>
      </c>
      <c r="C16">
        <f>Contexte!D18</f>
        <v>0</v>
      </c>
      <c r="D16">
        <f>Contexte!G18</f>
        <v>0</v>
      </c>
    </row>
    <row r="17" spans="1:4">
      <c r="A17">
        <f>Contexte!B19</f>
        <v>0</v>
      </c>
      <c r="B17">
        <f>Contexte!C19</f>
        <v>0</v>
      </c>
      <c r="C17">
        <f>Contexte!D19</f>
        <v>0</v>
      </c>
      <c r="D17">
        <f>Contexte!G19</f>
        <v>0</v>
      </c>
    </row>
    <row r="18" spans="1:4">
      <c r="A18">
        <f>Contexte!B20</f>
        <v>0</v>
      </c>
      <c r="B18">
        <f>Contexte!C20</f>
        <v>0</v>
      </c>
      <c r="C18">
        <f>Contexte!D20</f>
        <v>0</v>
      </c>
      <c r="D18">
        <f>Contexte!G20</f>
        <v>0</v>
      </c>
    </row>
    <row r="19" spans="1:4">
      <c r="A19">
        <f>Contexte!B21</f>
        <v>0</v>
      </c>
      <c r="B19">
        <f>Contexte!C21</f>
        <v>0</v>
      </c>
      <c r="C19">
        <f>Contexte!D21</f>
        <v>0</v>
      </c>
      <c r="D19">
        <f>Contexte!G21</f>
        <v>0</v>
      </c>
    </row>
    <row r="20" spans="1:4">
      <c r="A20">
        <f>Contexte!B22</f>
        <v>0</v>
      </c>
      <c r="B20">
        <f>Contexte!C22</f>
        <v>0</v>
      </c>
      <c r="C20">
        <f>Contexte!D22</f>
        <v>0</v>
      </c>
      <c r="D20">
        <f>Contexte!G22</f>
        <v>0</v>
      </c>
    </row>
    <row r="21" spans="1:4">
      <c r="A21">
        <f>Contexte!B23</f>
        <v>0</v>
      </c>
      <c r="B21">
        <f>Contexte!C23</f>
        <v>0</v>
      </c>
      <c r="C21">
        <f>Contexte!D23</f>
        <v>0</v>
      </c>
      <c r="D21">
        <f>Contexte!G23</f>
        <v>0</v>
      </c>
    </row>
    <row r="22" spans="1:4">
      <c r="A22">
        <f>Contexte!B24</f>
        <v>0</v>
      </c>
      <c r="B22">
        <f>Contexte!C24</f>
        <v>0</v>
      </c>
      <c r="C22">
        <f>Contexte!D24</f>
        <v>0</v>
      </c>
      <c r="D22">
        <f>Contexte!G24</f>
        <v>0</v>
      </c>
    </row>
    <row r="23" spans="1:4">
      <c r="A23">
        <f>Contexte!B25</f>
        <v>0</v>
      </c>
      <c r="B23">
        <f>Contexte!C25</f>
        <v>0</v>
      </c>
      <c r="C23">
        <f>Contexte!D25</f>
        <v>0</v>
      </c>
      <c r="D23">
        <f>Contexte!G25</f>
        <v>0</v>
      </c>
    </row>
    <row r="24" spans="1:4">
      <c r="A24">
        <f>Contexte!B26</f>
        <v>0</v>
      </c>
      <c r="B24">
        <f>Contexte!C26</f>
        <v>0</v>
      </c>
      <c r="C24">
        <f>Contexte!D26</f>
        <v>0</v>
      </c>
      <c r="D24">
        <f>Contexte!G26</f>
        <v>0</v>
      </c>
    </row>
    <row r="25" spans="1:4">
      <c r="A25">
        <f>Contexte!B27</f>
        <v>0</v>
      </c>
      <c r="B25">
        <f>Contexte!C27</f>
        <v>0</v>
      </c>
      <c r="C25">
        <f>Contexte!D27</f>
        <v>0</v>
      </c>
      <c r="D25">
        <f>Contexte!G27</f>
        <v>0</v>
      </c>
    </row>
    <row r="26" spans="1:4">
      <c r="B26" s="148" t="s">
        <v>213</v>
      </c>
      <c r="D26">
        <f>Contexte!G28</f>
        <v>0</v>
      </c>
    </row>
    <row r="27" spans="1:4">
      <c r="A27" t="str">
        <f>'activité de contrôle'!B5</f>
        <v>VC100</v>
      </c>
      <c r="B27" t="str">
        <f>'activité de contrôle'!C5</f>
        <v>Nombre de contrôles de bon fonctionnement (dont diagnostic initial) sur année N</v>
      </c>
      <c r="C27">
        <f>'activité de contrôle'!D5</f>
        <v>0</v>
      </c>
      <c r="D27">
        <f>'activité de contrôle'!G5</f>
        <v>0</v>
      </c>
    </row>
    <row r="28" spans="1:4">
      <c r="A28" t="str">
        <f>'activité de contrôle'!B6</f>
        <v>VC101</v>
      </c>
      <c r="B28" t="str">
        <f>'activité de contrôle'!C6</f>
        <v>- Dont ventes</v>
      </c>
      <c r="C28">
        <f>'activité de contrôle'!D6</f>
        <v>0</v>
      </c>
      <c r="D28">
        <f>'activité de contrôle'!G6</f>
        <v>0</v>
      </c>
    </row>
    <row r="29" spans="1:4">
      <c r="A29" t="str">
        <f>'activité de contrôle'!B7</f>
        <v>VC102</v>
      </c>
      <c r="B29" t="str">
        <f>'activité de contrôle'!C7</f>
        <v>- Dont CBF hors vente</v>
      </c>
      <c r="C29">
        <f>'activité de contrôle'!D7</f>
        <v>0</v>
      </c>
      <c r="D29">
        <f>'activité de contrôle'!G7</f>
        <v>0</v>
      </c>
    </row>
    <row r="30" spans="1:4">
      <c r="A30" t="str">
        <f>'activité de contrôle'!B8</f>
        <v>IPANC2</v>
      </c>
      <c r="B30" t="str">
        <f>'activité de contrôle'!C8</f>
        <v>Taux de contrôles de bon fonctionnement annuel (% du parc)</v>
      </c>
      <c r="C30" t="str">
        <f>'activité de contrôle'!D8</f>
        <v/>
      </c>
      <c r="D30">
        <f>'activité de contrôle'!G8</f>
        <v>0</v>
      </c>
    </row>
    <row r="31" spans="1:4">
      <c r="A31" t="str">
        <f>'activité de contrôle'!B9</f>
        <v>IPANC2.1</v>
      </c>
      <c r="B31" t="str">
        <f>'activité de contrôle'!C9</f>
        <v>Proportion de contrôles liés aux ventes (% des CBF)</v>
      </c>
      <c r="C31" t="str">
        <f>'activité de contrôle'!D9</f>
        <v/>
      </c>
      <c r="D31">
        <f>'activité de contrôle'!G9</f>
        <v>0</v>
      </c>
    </row>
    <row r="32" spans="1:4">
      <c r="A32" t="str">
        <f>'activité de contrôle'!B10</f>
        <v>IPANC2.2</v>
      </c>
      <c r="B32" t="str">
        <f>'activité de contrôle'!C10</f>
        <v>Taux de contrôles liés aux ventes (% du parc)</v>
      </c>
      <c r="C32" t="str">
        <f>'activité de contrôle'!D10</f>
        <v/>
      </c>
      <c r="D32">
        <f>'activité de contrôle'!G10</f>
        <v>0</v>
      </c>
    </row>
    <row r="33" spans="1:4">
      <c r="A33" t="str">
        <f>'activité de contrôle'!B11</f>
        <v>Contrôles du neuf</v>
      </c>
      <c r="B33">
        <f>'activité de contrôle'!C11</f>
        <v>0</v>
      </c>
      <c r="C33">
        <f>'activité de contrôle'!D11</f>
        <v>0</v>
      </c>
      <c r="D33">
        <f>'activité de contrôle'!G11</f>
        <v>0</v>
      </c>
    </row>
    <row r="34" spans="1:4">
      <c r="A34" t="str">
        <f>'activité de contrôle'!B12</f>
        <v>VC200</v>
      </c>
      <c r="B34" t="str">
        <f>'activité de contrôle'!C12</f>
        <v>Nombre de contrôles neufs sur année N</v>
      </c>
      <c r="C34">
        <f>'activité de contrôle'!D12</f>
        <v>0</v>
      </c>
      <c r="D34">
        <f>'activité de contrôle'!G12</f>
        <v>0</v>
      </c>
    </row>
    <row r="35" spans="1:4">
      <c r="A35" t="str">
        <f>'activité de contrôle'!B13</f>
        <v>IPANC3</v>
      </c>
      <c r="B35" t="str">
        <f>'activité de contrôle'!C13</f>
        <v>Proportion des contrôles neufs sur l’année</v>
      </c>
      <c r="C35" t="str">
        <f>'activité de contrôle'!D13</f>
        <v/>
      </c>
      <c r="D35">
        <f>'activité de contrôle'!G13</f>
        <v>0</v>
      </c>
    </row>
    <row r="36" spans="1:4">
      <c r="A36" t="str">
        <f>'activité de contrôle'!B14</f>
        <v>VC201</v>
      </c>
      <c r="B36" t="str">
        <f>'activité de contrôle'!C14</f>
        <v xml:space="preserve"> - nombre d'examens de conception</v>
      </c>
      <c r="C36">
        <f>'activité de contrôle'!D14</f>
        <v>0</v>
      </c>
      <c r="D36">
        <f>'activité de contrôle'!G14</f>
        <v>0</v>
      </c>
    </row>
    <row r="37" spans="1:4">
      <c r="A37" t="str">
        <f>'activité de contrôle'!B15</f>
        <v>VC202</v>
      </c>
      <c r="B37" t="str">
        <f>'activité de contrôle'!C15</f>
        <v xml:space="preserve"> - nombre de contrôles de réalisation</v>
      </c>
      <c r="C37">
        <f>'activité de contrôle'!D15</f>
        <v>0</v>
      </c>
      <c r="D37">
        <f>'activité de contrôle'!G15</f>
        <v>0</v>
      </c>
    </row>
    <row r="38" spans="1:4">
      <c r="A38" t="str">
        <f>'activité de contrôle'!B16</f>
        <v>IP.ANC5.1</v>
      </c>
      <c r="B38" t="str">
        <f>'activité de contrôle'!C16</f>
        <v>Répartition des contrôles : CBF liés aux ventes (% total des contrôles)</v>
      </c>
      <c r="C38" t="str">
        <f>'activité de contrôle'!D16</f>
        <v/>
      </c>
      <c r="D38">
        <f>'activité de contrôle'!G16</f>
        <v>0</v>
      </c>
    </row>
    <row r="39" spans="1:4">
      <c r="A39" t="str">
        <f>'activité de contrôle'!B17</f>
        <v>IP.ANC5.2</v>
      </c>
      <c r="B39" t="str">
        <f>'activité de contrôle'!C17</f>
        <v>Répartition des contrôles : CBF hors ventes (% total des contrôles)</v>
      </c>
      <c r="C39" t="str">
        <f>'activité de contrôle'!D17</f>
        <v/>
      </c>
      <c r="D39">
        <f>'activité de contrôle'!G17</f>
        <v>0</v>
      </c>
    </row>
    <row r="40" spans="1:4">
      <c r="A40" t="str">
        <f>'activité de contrôle'!B18</f>
        <v>IP.ANC5.3</v>
      </c>
      <c r="B40" t="str">
        <f>'activité de contrôle'!C18</f>
        <v>Répartition des contrôles : examens de conception (% total des contrôles)</v>
      </c>
      <c r="C40" t="str">
        <f>'activité de contrôle'!D18</f>
        <v/>
      </c>
      <c r="D40">
        <f>'activité de contrôle'!G18</f>
        <v>0</v>
      </c>
    </row>
    <row r="41" spans="1:4">
      <c r="A41" t="str">
        <f>'activité de contrôle'!B19</f>
        <v>IP.ANC5.4</v>
      </c>
      <c r="B41" t="str">
        <f>'activité de contrôle'!C19</f>
        <v>Répartition des contrôles : contrôles de réalisation (% total des contrôles)</v>
      </c>
      <c r="C41" t="str">
        <f>'activité de contrôle'!D19</f>
        <v/>
      </c>
      <c r="D41">
        <f>'activité de contrôle'!G19</f>
        <v>0</v>
      </c>
    </row>
    <row r="42" spans="1:4">
      <c r="A42" t="str">
        <f>'activité de contrôle'!B20</f>
        <v>Résultats des contrôles</v>
      </c>
      <c r="B42">
        <f>'activité de contrôle'!C20</f>
        <v>0</v>
      </c>
      <c r="C42">
        <f>'activité de contrôle'!D20</f>
        <v>0</v>
      </c>
      <c r="D42">
        <f>'activité de contrôle'!G20</f>
        <v>0</v>
      </c>
    </row>
    <row r="43" spans="1:4">
      <c r="A43" t="str">
        <f>'activité de contrôle'!B21</f>
        <v>VCtot</v>
      </c>
      <c r="B43" t="str">
        <f>'activité de contrôle'!C21</f>
        <v>Nombre de contrôles total sur l'année N</v>
      </c>
      <c r="C43">
        <f>'activité de contrôle'!D21</f>
        <v>0</v>
      </c>
      <c r="D43">
        <f>'activité de contrôle'!G21</f>
        <v>0</v>
      </c>
    </row>
    <row r="44" spans="1:4">
      <c r="A44" t="str">
        <f>'activité de contrôle'!B22</f>
        <v>DC320</v>
      </c>
      <c r="B44" t="str">
        <f>'activité de contrôle'!C22</f>
        <v>Nombre d’immeubles contrôlés sur l'année N avec absence totale d'installation</v>
      </c>
      <c r="C44">
        <f>'activité de contrôle'!D22</f>
        <v>0</v>
      </c>
      <c r="D44">
        <f>'activité de contrôle'!G22</f>
        <v>0</v>
      </c>
    </row>
    <row r="45" spans="1:4">
      <c r="A45" t="str">
        <f>'activité de contrôle'!B23</f>
        <v>DC321</v>
      </c>
      <c r="B45" t="str">
        <f>'activité de contrôle'!C23</f>
        <v>Nombre d’installations contrôlées sur l'année N avec obligation de travaux sous 4 ans</v>
      </c>
      <c r="C45">
        <f>'activité de contrôle'!D23</f>
        <v>0</v>
      </c>
      <c r="D45">
        <f>'activité de contrôle'!G23</f>
        <v>0</v>
      </c>
    </row>
    <row r="46" spans="1:4">
      <c r="A46" t="str">
        <f>'activité de contrôle'!B24</f>
        <v>DC322</v>
      </c>
      <c r="B46" t="str">
        <f>'activité de contrôle'!C24</f>
        <v>Nombre d'immeubles contrôlés sur l'année N avec obligation de travaux en cas de vente sous un an</v>
      </c>
      <c r="C46">
        <f>'activité de contrôle'!D24</f>
        <v>0</v>
      </c>
      <c r="D46">
        <f>'activité de contrôle'!G24</f>
        <v>0</v>
      </c>
    </row>
    <row r="47" spans="1:4">
      <c r="A47" t="str">
        <f>'activité de contrôle'!B25</f>
        <v>ICANC12</v>
      </c>
      <c r="B47" t="str">
        <f>'activité de contrôle'!C25</f>
        <v>Proportion d'immeubles contrôlés avec absence totale d'installation</v>
      </c>
      <c r="C47" t="str">
        <f>'activité de contrôle'!D25</f>
        <v/>
      </c>
      <c r="D47">
        <f>'activité de contrôle'!G25</f>
        <v>0</v>
      </c>
    </row>
    <row r="48" spans="1:4">
      <c r="A48" t="str">
        <f>'activité de contrôle'!B26</f>
        <v>ICANC13</v>
      </c>
      <c r="B48" t="str">
        <f>'activité de contrôle'!C26</f>
        <v>Proportion d'immeubles contrôlés avec obligation de travaux sous 4 ans</v>
      </c>
      <c r="C48" t="str">
        <f>'activité de contrôle'!D26</f>
        <v/>
      </c>
      <c r="D48">
        <f>'activité de contrôle'!G26</f>
        <v>0</v>
      </c>
    </row>
    <row r="49" spans="1:4">
      <c r="A49" t="str">
        <f>'activité de contrôle'!B27</f>
        <v>ICANC14</v>
      </c>
      <c r="B49" t="str">
        <f>'activité de contrôle'!C27</f>
        <v>Proportion d'immeubles contrôlés avec obligation de travaux en cas de vente</v>
      </c>
      <c r="C49" t="str">
        <f>'activité de contrôle'!D27</f>
        <v/>
      </c>
      <c r="D49">
        <f>'activité de contrôle'!G27</f>
        <v>0</v>
      </c>
    </row>
    <row r="50" spans="1:4">
      <c r="A50" t="str">
        <f>'activité de contrôle'!B28</f>
        <v>VC304</v>
      </c>
      <c r="B50" t="str">
        <f>'activité de contrôle'!C28</f>
        <v>Suivi des ANC avec obligation de travaux (délai 4 ans) : existence procédure de communication usagers</v>
      </c>
      <c r="C50">
        <f>'activité de contrôle'!D28</f>
        <v>0</v>
      </c>
      <c r="D50">
        <f>'activité de contrôle'!G28</f>
        <v>0</v>
      </c>
    </row>
    <row r="51" spans="1:4">
      <c r="A51" t="str">
        <f>'activité de contrôle'!B29</f>
        <v>VC304_pt</v>
      </c>
      <c r="B51" t="str">
        <f>'activité de contrôle'!C29</f>
        <v>Suivi des ANC avec obligation de travaux (délai 4 ans) : existence procédure de communication usagers</v>
      </c>
      <c r="C51">
        <f>'activité de contrôle'!D29</f>
        <v>0</v>
      </c>
      <c r="D51">
        <f>'activité de contrôle'!G29</f>
        <v>0</v>
      </c>
    </row>
    <row r="52" spans="1:4">
      <c r="A52" t="str">
        <f>'activité de contrôle'!B30</f>
        <v>VC305</v>
      </c>
      <c r="B52" t="str">
        <f>'activité de contrôle'!C30</f>
        <v>Suivi des ANC avec obligation de travaux (délai 4 ans) : existence procédure de contrôle spécifique</v>
      </c>
      <c r="C52">
        <f>'activité de contrôle'!D30</f>
        <v>0</v>
      </c>
      <c r="D52">
        <f>'activité de contrôle'!G30</f>
        <v>0</v>
      </c>
    </row>
    <row r="53" spans="1:4">
      <c r="A53" t="str">
        <f>'activité de contrôle'!B31</f>
        <v>VC305_pt</v>
      </c>
      <c r="B53" t="str">
        <f>'activité de contrôle'!C31</f>
        <v>Suivi des ANC avec obligation de travaux (délai 4 ans) : existence procédure de contrôle spécifique</v>
      </c>
      <c r="C53">
        <f>'activité de contrôle'!D31</f>
        <v>0</v>
      </c>
      <c r="D53">
        <f>'activité de contrôle'!G31</f>
        <v>0</v>
      </c>
    </row>
    <row r="54" spans="1:4">
      <c r="A54" t="str">
        <f>'activité de contrôle'!B32</f>
        <v>VC306</v>
      </c>
      <c r="B54" t="str">
        <f>'activité de contrôle'!C32</f>
        <v xml:space="preserve">Suivi des ANC avec obligation travaux délai 4 ans : mise en œuvre d'une pénalité financière en cas de non réalisation des travaux au terme des 4 ans </v>
      </c>
      <c r="C54">
        <f>'activité de contrôle'!D32</f>
        <v>0</v>
      </c>
      <c r="D54">
        <f>'activité de contrôle'!G32</f>
        <v>0</v>
      </c>
    </row>
    <row r="55" spans="1:4">
      <c r="A55" t="str">
        <f>'activité de contrôle'!B33</f>
        <v>VC306_pt</v>
      </c>
      <c r="B55" t="str">
        <f>'activité de contrôle'!C33</f>
        <v xml:space="preserve">Suivi des ANC avec obligation travaux délai 4 ans : mise en œuvre d'une pénalité financière en cas de non réalisation des travaux au terme des 4 ans </v>
      </c>
      <c r="C55">
        <f>'activité de contrôle'!D33</f>
        <v>0</v>
      </c>
      <c r="D55">
        <f>'activité de contrôle'!G33</f>
        <v>0</v>
      </c>
    </row>
    <row r="56" spans="1:4">
      <c r="A56" t="str">
        <f>'activité de contrôle'!B34</f>
        <v>VC306b</v>
      </c>
      <c r="B56" t="str">
        <f>'activité de contrôle'!C34</f>
        <v>Si oui, la pénalité est-elle majorée (+100% ou davantage par rapport au coût du contrôle)</v>
      </c>
      <c r="C56">
        <f>'activité de contrôle'!D34</f>
        <v>0</v>
      </c>
      <c r="D56">
        <f>'activité de contrôle'!G34</f>
        <v>0</v>
      </c>
    </row>
    <row r="57" spans="1:4">
      <c r="A57" t="str">
        <f>'activité de contrôle'!B35</f>
        <v>VC306b_pt</v>
      </c>
      <c r="B57" t="str">
        <f>'activité de contrôle'!C35</f>
        <v>Si oui, la pénalité est-elle majorée (+100% ou davantage par rapport au coût du contrôle)</v>
      </c>
      <c r="C57">
        <f>'activité de contrôle'!D35</f>
        <v>0</v>
      </c>
      <c r="D57">
        <f>'activité de contrôle'!G35</f>
        <v>0</v>
      </c>
    </row>
    <row r="58" spans="1:4">
      <c r="A58" t="str">
        <f>'activité de contrôle'!B36</f>
        <v>VC307</v>
      </c>
      <c r="B58" t="str">
        <f>'activité de contrôle'!C36</f>
        <v>Accompagnement financier des usagers</v>
      </c>
      <c r="C58">
        <f>'activité de contrôle'!D36</f>
        <v>0</v>
      </c>
      <c r="D58">
        <f>'activité de contrôle'!G36</f>
        <v>0</v>
      </c>
    </row>
    <row r="59" spans="1:4">
      <c r="A59" t="str">
        <f>'activité de contrôle'!B37</f>
        <v>VC307_pt</v>
      </c>
      <c r="B59" t="str">
        <f>'activité de contrôle'!C37</f>
        <v>Accompagnement financier des usagers</v>
      </c>
      <c r="C59">
        <f>'activité de contrôle'!D37</f>
        <v>0</v>
      </c>
      <c r="D59">
        <f>'activité de contrôle'!G37</f>
        <v>0</v>
      </c>
    </row>
    <row r="60" spans="1:4">
      <c r="A60" t="str">
        <f>'activité de contrôle'!B38</f>
        <v>VC308</v>
      </c>
      <c r="B60" t="str">
        <f>'activité de contrôle'!C38</f>
        <v>Collaboration avec  les maires pour les installations les plus problématiques</v>
      </c>
      <c r="C60">
        <f>'activité de contrôle'!D38</f>
        <v>0</v>
      </c>
      <c r="D60">
        <f>'activité de contrôle'!G38</f>
        <v>0</v>
      </c>
    </row>
    <row r="61" spans="1:4">
      <c r="A61" t="str">
        <f>'activité de contrôle'!B39</f>
        <v>VC308_pt</v>
      </c>
      <c r="B61" t="str">
        <f>'activité de contrôle'!C39</f>
        <v>Collaboration avec  les maires pour les installations les plus problématiques</v>
      </c>
      <c r="C61">
        <f>'activité de contrôle'!D39</f>
        <v>0</v>
      </c>
      <c r="D61">
        <f>'activité de contrôle'!G39</f>
        <v>0</v>
      </c>
    </row>
    <row r="62" spans="1:4">
      <c r="A62" t="str">
        <f>'activité de contrôle'!B40</f>
        <v>IPANC9</v>
      </c>
      <c r="B62" t="str">
        <f>'activité de contrôle'!C40</f>
        <v xml:space="preserve">Indice du caractère proactif du SPANC sur le suivi des obligations de travaux </v>
      </c>
      <c r="C62">
        <f>'activité de contrôle'!D40</f>
        <v>0</v>
      </c>
      <c r="D62">
        <f>'activité de contrôle'!G40</f>
        <v>0</v>
      </c>
    </row>
    <row r="63" spans="1:4">
      <c r="A63" t="str">
        <f>'activité de contrôle'!B41</f>
        <v>Périodicité</v>
      </c>
      <c r="B63">
        <f>'activité de contrôle'!C41</f>
        <v>0</v>
      </c>
      <c r="C63">
        <f>'activité de contrôle'!D41</f>
        <v>0</v>
      </c>
      <c r="D63">
        <f>'activité de contrôle'!G41</f>
        <v>0</v>
      </c>
    </row>
    <row r="64" spans="1:4">
      <c r="A64" t="str">
        <f>'activité de contrôle'!B42</f>
        <v>VP323</v>
      </c>
      <c r="B64" t="str">
        <f>'activité de contrôle'!C42</f>
        <v>Périodicité des contrôles de bon fonctionnement</v>
      </c>
      <c r="C64">
        <f>'activité de contrôle'!D42</f>
        <v>0</v>
      </c>
      <c r="D64">
        <f>'activité de contrôle'!G42</f>
        <v>0</v>
      </c>
    </row>
    <row r="65" spans="1:6">
      <c r="A65" t="str">
        <f>'activité de contrôle'!B43</f>
        <v>VP324</v>
      </c>
      <c r="B65" t="str">
        <f>'activité de contrôle'!C43</f>
        <v>Existence de périodicités spécifiques</v>
      </c>
      <c r="C65">
        <f>'activité de contrôle'!D43</f>
        <v>0</v>
      </c>
      <c r="D65">
        <f>'activité de contrôle'!G43</f>
        <v>0</v>
      </c>
    </row>
    <row r="66" spans="1:6">
      <c r="A66" t="str">
        <f>'activité de contrôle'!B44</f>
        <v>VC501</v>
      </c>
      <c r="B66" t="str">
        <f>'activité de contrôle'!C44</f>
        <v xml:space="preserve">Nombre d'installations n'ayant pas été contrôlées dans le délai de périodicité fixé par le service sur l'année N </v>
      </c>
      <c r="C66">
        <f>'activité de contrôle'!D44</f>
        <v>0</v>
      </c>
      <c r="D66">
        <f>'activité de contrôle'!G44</f>
        <v>0</v>
      </c>
    </row>
    <row r="67" spans="1:6">
      <c r="A67" t="str">
        <f>'activité de contrôle'!B45</f>
        <v>IPANC10</v>
      </c>
      <c r="B67" t="str">
        <f>'activité de contrôle'!C45</f>
        <v>Taux d'installations non contrôlées dans le délai de périodicité (%parc)</v>
      </c>
      <c r="C67" t="str">
        <f>'activité de contrôle'!D45</f>
        <v/>
      </c>
      <c r="D67">
        <f>'activité de contrôle'!G45</f>
        <v>0</v>
      </c>
    </row>
    <row r="68" spans="1:6">
      <c r="A68" t="str">
        <f>'activité de contrôle'!B46</f>
        <v>IPANC10.1</v>
      </c>
      <c r="B68" t="str">
        <f>'activité de contrôle'!C46</f>
        <v>Taux d'installations non contrôlées dans le délai de périodicité (%CBF)</v>
      </c>
      <c r="C68" t="str">
        <f>'activité de contrôle'!D46</f>
        <v/>
      </c>
      <c r="D68">
        <f>'activité de contrôle'!G46</f>
        <v>0</v>
      </c>
      <c r="F68" s="44"/>
    </row>
    <row r="69" spans="1:6">
      <c r="A69" t="str">
        <f>'activité de contrôle'!B47</f>
        <v>Installations supérieures à 20EH</v>
      </c>
      <c r="B69">
        <f>'activité de contrôle'!C47</f>
        <v>0</v>
      </c>
      <c r="C69">
        <f>'activité de contrôle'!D47</f>
        <v>0</v>
      </c>
      <c r="D69">
        <f>'activité de contrôle'!G47</f>
        <v>0</v>
      </c>
    </row>
    <row r="70" spans="1:6">
      <c r="A70" t="str">
        <f>'activité de contrôle'!B48</f>
        <v>DC308</v>
      </c>
      <c r="B70" t="str">
        <f>'activité de contrôle'!C48</f>
        <v>Nombre (total) d’installations supérieures à 20EH</v>
      </c>
      <c r="C70">
        <f>'activité de contrôle'!D48</f>
        <v>0</v>
      </c>
      <c r="D70">
        <f>'activité de contrôle'!G48</f>
        <v>0</v>
      </c>
    </row>
    <row r="71" spans="1:6">
      <c r="A71" t="str">
        <f>'activité de contrôle'!B49</f>
        <v>VC601</v>
      </c>
      <c r="B71" t="str">
        <f>'activité de contrôle'!C49</f>
        <v>- Collaboration avec les services de la police de l'eau</v>
      </c>
      <c r="C71">
        <f>'activité de contrôle'!D49</f>
        <v>0</v>
      </c>
      <c r="D71">
        <f>'activité de contrôle'!G49</f>
        <v>0</v>
      </c>
    </row>
    <row r="72" spans="1:6">
      <c r="A72" t="str">
        <f>'activité de contrôle'!B50</f>
        <v>VC602</v>
      </c>
      <c r="B72" t="str">
        <f>'activité de contrôle'!C50</f>
        <v>- Nombre de contrôles effectués sur l'année N</v>
      </c>
      <c r="C72">
        <f>'activité de contrôle'!D50</f>
        <v>0</v>
      </c>
      <c r="D72">
        <f>'activité de contrôle'!G50</f>
        <v>0</v>
      </c>
    </row>
    <row r="73" spans="1:6">
      <c r="A73" t="str">
        <f>'activité de contrôle'!B51</f>
        <v>VC602b</v>
      </c>
      <c r="B73" t="str">
        <f>'activité de contrôle'!C51</f>
        <v>dont contrôles avec déplacement sur place</v>
      </c>
      <c r="C73">
        <f>'activité de contrôle'!D51</f>
        <v>0</v>
      </c>
      <c r="D73">
        <f>'activité de contrôle'!G51</f>
        <v>0</v>
      </c>
    </row>
    <row r="74" spans="1:6">
      <c r="A74" t="str">
        <f>'activité de contrôle'!B52</f>
        <v>VC603</v>
      </c>
      <c r="B74" t="str">
        <f>'activité de contrôle'!C52</f>
        <v>- Suivi : récupération du cahier de vie annuellement/mise à disposition du cahier de vie</v>
      </c>
      <c r="C74">
        <f>'activité de contrôle'!D52</f>
        <v>0</v>
      </c>
      <c r="D74">
        <f>'activité de contrôle'!G52</f>
        <v>0</v>
      </c>
    </row>
    <row r="75" spans="1:6">
      <c r="A75" t="str">
        <f>'activité de contrôle'!B53</f>
        <v>ICANC3</v>
      </c>
      <c r="B75" t="str">
        <f>'activité de contrôle'!C53</f>
        <v>Part des installations &gt; 20EH dans le parc</v>
      </c>
      <c r="C75" t="str">
        <f>'activité de contrôle'!D53</f>
        <v/>
      </c>
      <c r="D75">
        <f>'activité de contrôle'!G53</f>
        <v>0</v>
      </c>
    </row>
    <row r="76" spans="1:6">
      <c r="A76" t="str">
        <f>'activité de contrôle'!B56</f>
        <v>Connaissance du parc</v>
      </c>
      <c r="B76">
        <f>'activité de contrôle'!C56</f>
        <v>0</v>
      </c>
      <c r="C76">
        <f>'activité de contrôle'!D56</f>
        <v>0</v>
      </c>
      <c r="D76">
        <f>'activité de contrôle'!G56</f>
        <v>0</v>
      </c>
    </row>
    <row r="77" spans="1:6">
      <c r="A77" t="str">
        <f>'activité de contrôle'!B57</f>
        <v>DC316</v>
      </c>
      <c r="B77" t="str">
        <f>'activité de contrôle'!C57</f>
        <v>Nombre d’installations avec infiltration</v>
      </c>
      <c r="C77">
        <f>'activité de contrôle'!D57</f>
        <v>0</v>
      </c>
      <c r="D77">
        <f>'activité de contrôle'!G57</f>
        <v>0</v>
      </c>
    </row>
    <row r="78" spans="1:6">
      <c r="A78" t="str">
        <f>'activité de contrôle'!B58</f>
        <v>ICANC4</v>
      </c>
      <c r="B78" t="str">
        <f>'activité de contrôle'!C58</f>
        <v>Part des installations avec infiltration dans le parc</v>
      </c>
      <c r="C78" t="str">
        <f>'activité de contrôle'!D58</f>
        <v/>
      </c>
      <c r="D78">
        <f>'activité de contrôle'!G58</f>
        <v>0</v>
      </c>
    </row>
    <row r="79" spans="1:6">
      <c r="A79" t="str">
        <f>'activité de contrôle'!B59</f>
        <v>DC317</v>
      </c>
      <c r="B79" t="str">
        <f>'activité de contrôle'!C59</f>
        <v>Nombre d’installations avec évacuation vers milieu hydraulique superficiel</v>
      </c>
      <c r="C79">
        <f>'activité de contrôle'!D59</f>
        <v>0</v>
      </c>
      <c r="D79">
        <f>'activité de contrôle'!G59</f>
        <v>0</v>
      </c>
    </row>
    <row r="80" spans="1:6">
      <c r="A80" t="str">
        <f>'activité de contrôle'!B60</f>
        <v>ICANC5</v>
      </c>
      <c r="B80" t="str">
        <f>'activité de contrôle'!C60</f>
        <v>Part des installations avec évacuation vers le milieu hydraulique superficiel dans le parc</v>
      </c>
      <c r="C80" t="str">
        <f>'activité de contrôle'!D60</f>
        <v/>
      </c>
      <c r="D80">
        <f>'activité de contrôle'!G60</f>
        <v>0</v>
      </c>
    </row>
    <row r="81" spans="1:4">
      <c r="A81" t="str">
        <f>'activité de contrôle'!B61</f>
        <v>IPANC12</v>
      </c>
      <c r="B81" t="str">
        <f>'activité de contrôle'!C61</f>
        <v>Connaissance du parc en termes d'évacuation des EU traitées</v>
      </c>
      <c r="C81" t="str">
        <f>'activité de contrôle'!D61</f>
        <v/>
      </c>
      <c r="D81">
        <f>'activité de contrôle'!G61</f>
        <v>0</v>
      </c>
    </row>
    <row r="82" spans="1:4">
      <c r="A82" t="str">
        <f>'activité de contrôle'!B64</f>
        <v>Refus de contrôle</v>
      </c>
      <c r="B82">
        <f>'activité de contrôle'!C64</f>
        <v>0</v>
      </c>
      <c r="C82">
        <f>'activité de contrôle'!D64</f>
        <v>0</v>
      </c>
      <c r="D82">
        <f>'activité de contrôle'!G64</f>
        <v>0</v>
      </c>
    </row>
    <row r="83" spans="1:4">
      <c r="A83" t="str">
        <f>'activité de contrôle'!B65</f>
        <v>VC700</v>
      </c>
      <c r="B83" t="str">
        <f>'activité de contrôle'!C65</f>
        <v>Nombre d'obstacles au contrôle constatés par le SPANC sur l'année N</v>
      </c>
      <c r="C83">
        <f>'activité de contrôle'!D65</f>
        <v>0</v>
      </c>
      <c r="D83">
        <f>'activité de contrôle'!G65</f>
        <v>0</v>
      </c>
    </row>
    <row r="84" spans="1:4">
      <c r="A84" t="str">
        <f>'activité de contrôle'!B66</f>
        <v>VC701</v>
      </c>
      <c r="B84" t="str">
        <f>'activité de contrôle'!C66</f>
        <v>- Pénalité financière en cas de refus de contrôle</v>
      </c>
      <c r="C84">
        <f>'activité de contrôle'!D66</f>
        <v>0</v>
      </c>
      <c r="D84">
        <f>'activité de contrôle'!G66</f>
        <v>0</v>
      </c>
    </row>
    <row r="85" spans="1:4">
      <c r="A85" t="str">
        <f>'activité de contrôle'!B67</f>
        <v>VC702</v>
      </c>
      <c r="B85" t="str">
        <f>'activité de contrôle'!C67</f>
        <v>- Montant de la pénalité</v>
      </c>
      <c r="C85">
        <f>'activité de contrôle'!D67</f>
        <v>0</v>
      </c>
      <c r="D85">
        <f>'activité de contrôle'!G67</f>
        <v>0</v>
      </c>
    </row>
    <row r="86" spans="1:4">
      <c r="A86" t="str">
        <f>'activité de contrôle'!B68</f>
        <v>IPANC11</v>
      </c>
      <c r="B86" t="str">
        <f>'activité de contrôle'!C68</f>
        <v>Taux de refus sur les contrôles de bon fonctionnement</v>
      </c>
      <c r="C86" t="str">
        <f>'activité de contrôle'!D68</f>
        <v/>
      </c>
      <c r="D86">
        <f>'activité de contrôle'!G68</f>
        <v>0</v>
      </c>
    </row>
    <row r="87" spans="1:4">
      <c r="A87">
        <f>'activité de contrôle'!B69</f>
        <v>0</v>
      </c>
      <c r="C87">
        <f>'activité de contrôle'!D69</f>
        <v>0</v>
      </c>
      <c r="D87">
        <f>'activité de contrôle'!G69</f>
        <v>0</v>
      </c>
    </row>
    <row r="88" spans="1:4">
      <c r="A88">
        <f>'activité de contrôle'!B70</f>
        <v>0</v>
      </c>
      <c r="C88">
        <f>'activité de contrôle'!D70</f>
        <v>0</v>
      </c>
      <c r="D88">
        <f>'activité de contrôle'!G70</f>
        <v>0</v>
      </c>
    </row>
    <row r="89" spans="1:4">
      <c r="A89">
        <f>'activité de contrôle'!B78</f>
        <v>0</v>
      </c>
      <c r="B89">
        <f>'activité de contrôle'!C78</f>
        <v>0</v>
      </c>
      <c r="C89">
        <f>'activité de contrôle'!D78</f>
        <v>0</v>
      </c>
      <c r="D89">
        <f>Contexte!G85</f>
        <v>0</v>
      </c>
    </row>
    <row r="90" spans="1:4">
      <c r="B90" s="148" t="s">
        <v>109</v>
      </c>
    </row>
    <row r="91" spans="1:4">
      <c r="A91" t="str">
        <f>'service aux usagers'!B5</f>
        <v>VUS101</v>
      </c>
      <c r="B91" t="str">
        <f>'service aux usagers'!C5</f>
        <v>Durée de prévenance de la visite déclarée (engagement)</v>
      </c>
      <c r="C91">
        <f>'service aux usagers'!D5</f>
        <v>0</v>
      </c>
      <c r="D91">
        <f>'service aux usagers'!G5</f>
        <v>0</v>
      </c>
    </row>
    <row r="92" spans="1:4">
      <c r="A92" t="str">
        <f>'service aux usagers'!B6</f>
        <v>VUS102</v>
      </c>
      <c r="B92" t="str">
        <f>'service aux usagers'!C6</f>
        <v>Nombre de contrôles de bon fonctionnement (hors vente) qui respectent le délai de prévenance</v>
      </c>
      <c r="C92">
        <f>'service aux usagers'!D6</f>
        <v>0</v>
      </c>
      <c r="D92">
        <f>'service aux usagers'!G6</f>
        <v>0</v>
      </c>
    </row>
    <row r="93" spans="1:4">
      <c r="A93" t="str">
        <f>'service aux usagers'!B7</f>
        <v>IPUS1</v>
      </c>
      <c r="B93" t="str">
        <f>'service aux usagers'!C7</f>
        <v>Taux de respect du délai de prévenance</v>
      </c>
      <c r="C93" t="str">
        <f>'service aux usagers'!D7</f>
        <v/>
      </c>
      <c r="D93">
        <f>'service aux usagers'!G7</f>
        <v>0</v>
      </c>
    </row>
    <row r="94" spans="1:4">
      <c r="A94" t="str">
        <f>'service aux usagers'!B8</f>
        <v>VUS103</v>
      </c>
      <c r="B94" t="str">
        <f>'service aux usagers'!C8</f>
        <v>Délai de transmission au propriétaire du rapport de visite (engagement)</v>
      </c>
      <c r="C94">
        <f>'service aux usagers'!D8</f>
        <v>0</v>
      </c>
      <c r="D94">
        <f>'service aux usagers'!G8</f>
        <v>0</v>
      </c>
    </row>
    <row r="95" spans="1:4">
      <c r="A95" t="str">
        <f>'service aux usagers'!B9</f>
        <v>VUS104</v>
      </c>
      <c r="B95" t="str">
        <f>'service aux usagers'!C9</f>
        <v>Nombre de rapports envoyés dans les délais</v>
      </c>
      <c r="C95">
        <f>'service aux usagers'!D9</f>
        <v>0</v>
      </c>
      <c r="D95">
        <f>'service aux usagers'!G9</f>
        <v>0</v>
      </c>
    </row>
    <row r="96" spans="1:4">
      <c r="A96" t="str">
        <f>'service aux usagers'!B10</f>
        <v>IPUS2</v>
      </c>
      <c r="B96" t="str">
        <f>'service aux usagers'!C10</f>
        <v>Taux de respect du délai d’envoi du rapport</v>
      </c>
      <c r="C96" t="str">
        <f>'service aux usagers'!D10</f>
        <v/>
      </c>
      <c r="D96">
        <f>'service aux usagers'!G10</f>
        <v>0</v>
      </c>
    </row>
    <row r="97" spans="1:4">
      <c r="A97" t="str">
        <f>'service aux usagers'!B11</f>
        <v>VUS105</v>
      </c>
      <c r="B97" t="str">
        <f>'service aux usagers'!C11</f>
        <v>Procédure d'envoi systématique d'un courrier explicatif en amont du contrôle, mention du règlement de service et tarifs</v>
      </c>
      <c r="C97">
        <f>'service aux usagers'!D11</f>
        <v>0</v>
      </c>
      <c r="D97">
        <f>'service aux usagers'!G11</f>
        <v>0</v>
      </c>
    </row>
    <row r="98" spans="1:4">
      <c r="A98" t="str">
        <f>'service aux usagers'!B12</f>
        <v>VUS106</v>
      </c>
      <c r="B98" t="str">
        <f>'service aux usagers'!C12</f>
        <v>Plages horaires proposées pour effectuer le contrôle </v>
      </c>
      <c r="C98">
        <f>'service aux usagers'!D12</f>
        <v>0</v>
      </c>
      <c r="D98">
        <f>'service aux usagers'!G12</f>
        <v>0</v>
      </c>
    </row>
    <row r="99" spans="1:4">
      <c r="A99" t="str">
        <f>'service aux usagers'!B13</f>
        <v>VUS107</v>
      </c>
      <c r="B99" t="str">
        <f>'service aux usagers'!C13</f>
        <v xml:space="preserve">Possibilité de contrôles le samedi, ou en horaires décalés (tôt le matin ou fin d'après-midi, entre 12h et 14h, etc.)  </v>
      </c>
      <c r="C99">
        <f>'service aux usagers'!D13</f>
        <v>0</v>
      </c>
      <c r="D99">
        <f>'service aux usagers'!G13</f>
        <v>0</v>
      </c>
    </row>
    <row r="100" spans="1:4">
      <c r="A100" t="str">
        <f>'service aux usagers'!B14</f>
        <v>VUS108</v>
      </c>
      <c r="B100" t="str">
        <f>'service aux usagers'!C14</f>
        <v>Souplesse et possibilité de déplacer un rendez-vous</v>
      </c>
      <c r="C100">
        <f>'service aux usagers'!D14</f>
        <v>0</v>
      </c>
      <c r="D100">
        <f>'service aux usagers'!G14</f>
        <v>0</v>
      </c>
    </row>
    <row r="101" spans="1:4">
      <c r="A101" t="str">
        <f>'service aux usagers'!B15</f>
        <v>VUS101pts</v>
      </c>
      <c r="B101">
        <f>'service aux usagers'!C15</f>
        <v>0</v>
      </c>
      <c r="C101">
        <f>'service aux usagers'!D15</f>
        <v>0</v>
      </c>
      <c r="D101">
        <f>'service aux usagers'!G15</f>
        <v>0</v>
      </c>
    </row>
    <row r="102" spans="1:4">
      <c r="A102" t="str">
        <f>'service aux usagers'!B16</f>
        <v>IPUS1pts</v>
      </c>
      <c r="B102">
        <f>'service aux usagers'!C16</f>
        <v>0</v>
      </c>
      <c r="C102">
        <f>'service aux usagers'!D16</f>
        <v>0</v>
      </c>
      <c r="D102">
        <f>'service aux usagers'!G16</f>
        <v>0</v>
      </c>
    </row>
    <row r="103" spans="1:4">
      <c r="A103" t="str">
        <f>'service aux usagers'!B17</f>
        <v>IPUS2pts</v>
      </c>
      <c r="B103">
        <f>'service aux usagers'!C17</f>
        <v>0</v>
      </c>
      <c r="C103">
        <f>'service aux usagers'!D17</f>
        <v>0</v>
      </c>
      <c r="D103">
        <f>'service aux usagers'!G17</f>
        <v>0</v>
      </c>
    </row>
    <row r="104" spans="1:4">
      <c r="A104" t="str">
        <f>'service aux usagers'!B18</f>
        <v>VUS105pts</v>
      </c>
      <c r="B104">
        <f>'service aux usagers'!C18</f>
        <v>0</v>
      </c>
      <c r="C104">
        <f>'service aux usagers'!D18</f>
        <v>0</v>
      </c>
      <c r="D104">
        <f>'service aux usagers'!G18</f>
        <v>0</v>
      </c>
    </row>
    <row r="105" spans="1:4">
      <c r="A105" t="str">
        <f>'service aux usagers'!B19</f>
        <v>VUS106pts</v>
      </c>
      <c r="B105">
        <f>'service aux usagers'!C19</f>
        <v>0</v>
      </c>
      <c r="C105" t="str">
        <f>'service aux usagers'!D19</f>
        <v/>
      </c>
      <c r="D105">
        <f>'service aux usagers'!G19</f>
        <v>0</v>
      </c>
    </row>
    <row r="106" spans="1:4">
      <c r="A106" t="str">
        <f>'service aux usagers'!B20</f>
        <v>VUS107pts</v>
      </c>
      <c r="B106">
        <f>'service aux usagers'!C20</f>
        <v>0</v>
      </c>
      <c r="C106">
        <f>'service aux usagers'!D20</f>
        <v>0</v>
      </c>
      <c r="D106">
        <f>'service aux usagers'!G20</f>
        <v>0</v>
      </c>
    </row>
    <row r="107" spans="1:4">
      <c r="A107" t="str">
        <f>'service aux usagers'!B21</f>
        <v>VUS108pts</v>
      </c>
      <c r="B107">
        <f>'service aux usagers'!C21</f>
        <v>0</v>
      </c>
      <c r="C107">
        <f>'service aux usagers'!D21</f>
        <v>0</v>
      </c>
      <c r="D107">
        <f>'service aux usagers'!G21</f>
        <v>0</v>
      </c>
    </row>
    <row r="108" spans="1:4">
      <c r="A108" t="str">
        <f>'service aux usagers'!B22</f>
        <v>IPUS3</v>
      </c>
      <c r="B108" t="str">
        <f>'service aux usagers'!C22</f>
        <v>Indice relation à l’usager à l’occasion du contrôle</v>
      </c>
      <c r="C108">
        <f>'service aux usagers'!D22</f>
        <v>0</v>
      </c>
      <c r="D108">
        <f>'service aux usagers'!G22</f>
        <v>0</v>
      </c>
    </row>
    <row r="109" spans="1:4">
      <c r="A109" t="str">
        <f>'service aux usagers'!B23</f>
        <v>VUS201</v>
      </c>
      <c r="B109" t="str">
        <f>'service aux usagers'!C23</f>
        <v>Consultation et information annuelle CCSPL</v>
      </c>
      <c r="C109">
        <f>'service aux usagers'!D23</f>
        <v>0</v>
      </c>
      <c r="D109">
        <f>'service aux usagers'!G23</f>
        <v>0</v>
      </c>
    </row>
    <row r="110" spans="1:4">
      <c r="A110" t="str">
        <f>'service aux usagers'!B24</f>
        <v>VUS202</v>
      </c>
      <c r="B110" t="str">
        <f>'service aux usagers'!C24</f>
        <v>Existence de plaquettes d’information à l’attention des usagers</v>
      </c>
      <c r="C110">
        <f>'service aux usagers'!D24</f>
        <v>0</v>
      </c>
      <c r="D110">
        <f>'service aux usagers'!G24</f>
        <v>0</v>
      </c>
    </row>
    <row r="111" spans="1:4">
      <c r="A111" t="str">
        <f>'service aux usagers'!B25</f>
        <v>VUS203</v>
      </c>
      <c r="B111" t="str">
        <f>'service aux usagers'!C25</f>
        <v>Disponibilité du règlement de service sur le site internet</v>
      </c>
      <c r="C111">
        <f>'service aux usagers'!D25</f>
        <v>0</v>
      </c>
      <c r="D111">
        <f>'service aux usagers'!G25</f>
        <v>0</v>
      </c>
    </row>
    <row r="112" spans="1:4">
      <c r="A112" t="str">
        <f>'service aux usagers'!B26</f>
        <v>VUS204</v>
      </c>
      <c r="B112" t="str">
        <f>'service aux usagers'!C26</f>
        <v>Accueil physique </v>
      </c>
      <c r="C112">
        <f>'service aux usagers'!D26</f>
        <v>0</v>
      </c>
      <c r="D112">
        <f>'service aux usagers'!G26</f>
        <v>0</v>
      </c>
    </row>
    <row r="113" spans="1:4">
      <c r="A113" t="str">
        <f>'service aux usagers'!B27</f>
        <v>VUS205</v>
      </c>
      <c r="B113" t="str">
        <f>'service aux usagers'!C27</f>
        <v>Accueil téléphonique</v>
      </c>
      <c r="C113">
        <f>'service aux usagers'!D27</f>
        <v>0</v>
      </c>
      <c r="D113">
        <f>'service aux usagers'!G27</f>
        <v>0</v>
      </c>
    </row>
    <row r="114" spans="1:4">
      <c r="A114" t="str">
        <f>'service aux usagers'!B28</f>
        <v>VUS201pts</v>
      </c>
      <c r="B114">
        <f>'service aux usagers'!C28</f>
        <v>0</v>
      </c>
      <c r="C114">
        <f>'service aux usagers'!D28</f>
        <v>0</v>
      </c>
      <c r="D114">
        <f>'service aux usagers'!G28</f>
        <v>0</v>
      </c>
    </row>
    <row r="115" spans="1:4">
      <c r="A115" t="str">
        <f>'service aux usagers'!B29</f>
        <v>VUS202pts</v>
      </c>
      <c r="B115">
        <f>'service aux usagers'!C29</f>
        <v>0</v>
      </c>
      <c r="C115">
        <f>'service aux usagers'!D29</f>
        <v>0</v>
      </c>
      <c r="D115">
        <f>'service aux usagers'!G29</f>
        <v>0</v>
      </c>
    </row>
    <row r="116" spans="1:4">
      <c r="A116" t="str">
        <f>'service aux usagers'!B30</f>
        <v>VUS203pts</v>
      </c>
      <c r="B116">
        <f>'service aux usagers'!C30</f>
        <v>0</v>
      </c>
      <c r="C116">
        <f>'service aux usagers'!D30</f>
        <v>0</v>
      </c>
      <c r="D116">
        <f>'service aux usagers'!G30</f>
        <v>0</v>
      </c>
    </row>
    <row r="117" spans="1:4">
      <c r="A117" t="str">
        <f>'service aux usagers'!B31</f>
        <v>VUS204pts</v>
      </c>
      <c r="B117">
        <f>'service aux usagers'!C31</f>
        <v>0</v>
      </c>
      <c r="C117" t="e">
        <f>'service aux usagers'!D31</f>
        <v>#N/A</v>
      </c>
      <c r="D117">
        <f>'service aux usagers'!G31</f>
        <v>0</v>
      </c>
    </row>
    <row r="118" spans="1:4">
      <c r="A118" t="str">
        <f>'service aux usagers'!B32</f>
        <v>VUS205pts</v>
      </c>
      <c r="B118">
        <f>'service aux usagers'!C32</f>
        <v>0</v>
      </c>
      <c r="C118" t="e">
        <f>'service aux usagers'!D32</f>
        <v>#N/A</v>
      </c>
      <c r="D118">
        <f>'service aux usagers'!G32</f>
        <v>0</v>
      </c>
    </row>
    <row r="119" spans="1:4">
      <c r="A119" t="str">
        <f>'service aux usagers'!B33</f>
        <v>IPUS4</v>
      </c>
      <c r="B119" t="str">
        <f>'service aux usagers'!C33</f>
        <v>Indice « relation à l’usager hors mise en œuvre des contrôles »</v>
      </c>
      <c r="C119" t="str">
        <f>'service aux usagers'!D33</f>
        <v/>
      </c>
      <c r="D119">
        <f>'service aux usagers'!G33</f>
        <v>0</v>
      </c>
    </row>
    <row r="120" spans="1:4">
      <c r="A120" t="str">
        <f>'service aux usagers'!B34</f>
        <v>VUS300</v>
      </c>
      <c r="B120" t="str">
        <f>'service aux usagers'!C34</f>
        <v>Nombre de réclamations écrites reçues sur l'année N (total)</v>
      </c>
      <c r="C120">
        <f>'service aux usagers'!D34</f>
        <v>0</v>
      </c>
      <c r="D120">
        <f>'service aux usagers'!G34</f>
        <v>0</v>
      </c>
    </row>
    <row r="121" spans="1:4">
      <c r="A121" t="str">
        <f>'service aux usagers'!B35</f>
        <v>IPUS5</v>
      </c>
      <c r="B121" t="str">
        <f>'service aux usagers'!C35</f>
        <v>Taux de réclamation</v>
      </c>
      <c r="C121" t="str">
        <f>'service aux usagers'!D35</f>
        <v/>
      </c>
      <c r="D121">
        <f>'service aux usagers'!G35</f>
        <v>0</v>
      </c>
    </row>
    <row r="122" spans="1:4">
      <c r="A122" t="str">
        <f>'service aux usagers'!B36</f>
        <v>Missions facultatives</v>
      </c>
      <c r="B122">
        <f>'service aux usagers'!C36</f>
        <v>0</v>
      </c>
      <c r="C122">
        <f>'service aux usagers'!D36</f>
        <v>0</v>
      </c>
      <c r="D122">
        <f>'service aux usagers'!G36</f>
        <v>0</v>
      </c>
    </row>
    <row r="123" spans="1:4">
      <c r="A123" t="str">
        <f>'service aux usagers'!B37</f>
        <v>VP173</v>
      </c>
      <c r="B123" t="str">
        <f>'service aux usagers'!C37</f>
        <v>Service qui propose d’assurer à la demande du propriétaire la réalisation et les travaux de réhabilitation des installations ANC</v>
      </c>
      <c r="C123">
        <f>'service aux usagers'!D37</f>
        <v>0</v>
      </c>
      <c r="D123">
        <f>'service aux usagers'!G37</f>
        <v>0</v>
      </c>
    </row>
    <row r="124" spans="1:4">
      <c r="A124" t="str">
        <f>'service aux usagers'!B38</f>
        <v>VUS400</v>
      </c>
      <c r="B124" t="str">
        <f>'service aux usagers'!C38</f>
        <v>Nombre d'installations réhabilitées par le service sur l'année N (installations réceptionnées par le propriétaire)</v>
      </c>
      <c r="C124">
        <f>'service aux usagers'!D38</f>
        <v>0</v>
      </c>
      <c r="D124">
        <f>'service aux usagers'!G38</f>
        <v>0</v>
      </c>
    </row>
    <row r="125" spans="1:4">
      <c r="A125" t="str">
        <f>'service aux usagers'!B39</f>
        <v>VUS401</v>
      </c>
      <c r="B125" t="str">
        <f>'service aux usagers'!C39</f>
        <v>Taux d'installations réhabilitées par le service sur l'année N</v>
      </c>
      <c r="C125" t="str">
        <f>'service aux usagers'!D39</f>
        <v/>
      </c>
      <c r="D125">
        <f>'service aux usagers'!G39</f>
        <v>0</v>
      </c>
    </row>
    <row r="126" spans="1:4">
      <c r="A126" t="str">
        <f>'service aux usagers'!B40</f>
        <v>VP172</v>
      </c>
      <c r="B126" t="str">
        <f>'service aux usagers'!C40</f>
        <v>Service qui propose d’assurer à la demande du propriétaire l'entretien des installations d'ANC</v>
      </c>
      <c r="C126">
        <f>'service aux usagers'!D40</f>
        <v>0</v>
      </c>
      <c r="D126">
        <f>'service aux usagers'!G40</f>
        <v>0</v>
      </c>
    </row>
    <row r="127" spans="1:4">
      <c r="A127" t="str">
        <f>'service aux usagers'!B41</f>
        <v>VUS500</v>
      </c>
      <c r="B127" t="str">
        <f>'service aux usagers'!C41</f>
        <v>Compétence assurée en interne ? Par prestation ? Mixte ?</v>
      </c>
      <c r="C127">
        <f>'service aux usagers'!D41</f>
        <v>0</v>
      </c>
      <c r="D127">
        <f>'service aux usagers'!G41</f>
        <v>0</v>
      </c>
    </row>
    <row r="128" spans="1:4">
      <c r="A128" t="str">
        <f>'service aux usagers'!B42</f>
        <v>VUS501</v>
      </c>
      <c r="B128" t="str">
        <f>'service aux usagers'!C42</f>
        <v>Nombre d'installations entretenues par le service sur l'année N</v>
      </c>
      <c r="C128">
        <f>'service aux usagers'!D42</f>
        <v>0</v>
      </c>
      <c r="D128">
        <f>'service aux usagers'!G42</f>
        <v>0</v>
      </c>
    </row>
    <row r="129" spans="1:4">
      <c r="A129" t="str">
        <f>'service aux usagers'!B43</f>
        <v>VUS502</v>
      </c>
      <c r="B129" t="str">
        <f>'service aux usagers'!C43</f>
        <v>Taux d'installations entretenues par le service sur l'année N</v>
      </c>
      <c r="C129" t="str">
        <f>'service aux usagers'!D43</f>
        <v/>
      </c>
      <c r="D129">
        <f>'service aux usagers'!G43</f>
        <v>0</v>
      </c>
    </row>
    <row r="130" spans="1:4">
      <c r="A130" t="str">
        <f>'service aux usagers'!B44</f>
        <v>VP174</v>
      </c>
      <c r="B130" t="str">
        <f>'service aux usagers'!C44</f>
        <v>Service qui propose d'assurer la vidange des installations d'ANC</v>
      </c>
      <c r="C130">
        <f>'service aux usagers'!D44</f>
        <v>0</v>
      </c>
      <c r="D130">
        <f>'service aux usagers'!G44</f>
        <v>0</v>
      </c>
    </row>
    <row r="131" spans="1:4">
      <c r="A131" t="str">
        <f>'service aux usagers'!B45</f>
        <v>VUS600</v>
      </c>
      <c r="B131" t="str">
        <f>'service aux usagers'!C45</f>
        <v>Compétence assurée en interne? Par prestation? Mixte?</v>
      </c>
      <c r="C131">
        <f>'service aux usagers'!D45</f>
        <v>0</v>
      </c>
      <c r="D131">
        <f>'service aux usagers'!G45</f>
        <v>0</v>
      </c>
    </row>
    <row r="132" spans="1:4">
      <c r="A132" t="str">
        <f>'service aux usagers'!B46</f>
        <v>VUS601</v>
      </c>
      <c r="B132" t="str">
        <f>'service aux usagers'!C46</f>
        <v>Nombre d'installation vidangées par le service sur l'année N</v>
      </c>
      <c r="C132">
        <f>'service aux usagers'!D46</f>
        <v>0</v>
      </c>
      <c r="D132">
        <f>'service aux usagers'!G46</f>
        <v>0</v>
      </c>
    </row>
    <row r="133" spans="1:4">
      <c r="A133" t="str">
        <f>'service aux usagers'!B47</f>
        <v>VUS602</v>
      </c>
      <c r="B133" t="str">
        <f>'service aux usagers'!C47</f>
        <v>Taux d'installation vidangées par le service</v>
      </c>
      <c r="C133" t="str">
        <f>'service aux usagers'!D47</f>
        <v/>
      </c>
      <c r="D133">
        <f>'service aux usagers'!G47</f>
        <v>0</v>
      </c>
    </row>
    <row r="134" spans="1:4">
      <c r="A134">
        <f>'service aux usagers'!B48</f>
        <v>0</v>
      </c>
      <c r="B134">
        <f>'service aux usagers'!C48</f>
        <v>0</v>
      </c>
      <c r="C134">
        <f>'service aux usagers'!D48</f>
        <v>0</v>
      </c>
      <c r="D134">
        <f>'service aux usagers'!G48</f>
        <v>0</v>
      </c>
    </row>
    <row r="135" spans="1:4">
      <c r="A135">
        <f>'service aux usagers'!B49</f>
        <v>0</v>
      </c>
      <c r="B135">
        <f>'service aux usagers'!C49</f>
        <v>0</v>
      </c>
      <c r="C135">
        <f>'service aux usagers'!D49</f>
        <v>0</v>
      </c>
      <c r="D135">
        <f>'service aux usagers'!G49</f>
        <v>0</v>
      </c>
    </row>
    <row r="136" spans="1:4">
      <c r="A136">
        <f>'service aux usagers'!B50</f>
        <v>0</v>
      </c>
      <c r="B136">
        <f>'service aux usagers'!C50</f>
        <v>0</v>
      </c>
      <c r="C136">
        <f>'service aux usagers'!D50</f>
        <v>0</v>
      </c>
      <c r="D136">
        <f>'service aux usagers'!G50</f>
        <v>0</v>
      </c>
    </row>
    <row r="137" spans="1:4">
      <c r="A137">
        <f>'service aux usagers'!B51</f>
        <v>0</v>
      </c>
      <c r="C137">
        <f>'service aux usagers'!D51</f>
        <v>0</v>
      </c>
      <c r="D137">
        <f>'service aux usagers'!G51</f>
        <v>0</v>
      </c>
    </row>
    <row r="138" spans="1:4">
      <c r="A138">
        <f>'service aux usagers'!B52</f>
        <v>0</v>
      </c>
      <c r="B138">
        <f>'service aux usagers'!C55</f>
        <v>0</v>
      </c>
      <c r="C138">
        <f>'service aux usagers'!D55</f>
        <v>0</v>
      </c>
      <c r="D138">
        <f>'service aux usagers'!G52</f>
        <v>0</v>
      </c>
    </row>
    <row r="139" spans="1:4">
      <c r="B139" s="148" t="s">
        <v>110</v>
      </c>
    </row>
    <row r="140" spans="1:4">
      <c r="A140" t="str">
        <f>'Organisation du service'!B5</f>
        <v>VOS001</v>
      </c>
      <c r="B140" t="str">
        <f>'Organisation du service'!C5</f>
        <v>Mode de gestion du SPANC et mode de réalisation des contrôles - régie</v>
      </c>
      <c r="C140">
        <f>'Organisation du service'!D5</f>
        <v>0</v>
      </c>
      <c r="D140">
        <f>'Organisation du service'!G5</f>
        <v>0</v>
      </c>
    </row>
    <row r="141" spans="1:4">
      <c r="A141" t="str">
        <f>'Organisation du service'!B6</f>
        <v>VOS002</v>
      </c>
      <c r="B141" t="str">
        <f>'Organisation du service'!C6</f>
        <v>Mode de gestion du SPANC et mode de réalisation des contrôles - MP</v>
      </c>
      <c r="C141">
        <f>'Organisation du service'!D6</f>
        <v>0</v>
      </c>
      <c r="D141">
        <f>'Organisation du service'!G6</f>
        <v>0</v>
      </c>
    </row>
    <row r="142" spans="1:4">
      <c r="A142" t="str">
        <f>'Organisation du service'!B7</f>
        <v>VOS003</v>
      </c>
      <c r="B142" t="str">
        <f>'Organisation du service'!C7</f>
        <v>Mode de gestion du SPANC et mode de réalisation des contrôles - DSP</v>
      </c>
      <c r="C142">
        <f>'Organisation du service'!D7</f>
        <v>0</v>
      </c>
      <c r="D142">
        <f>'Organisation du service'!G7</f>
        <v>0</v>
      </c>
    </row>
    <row r="143" spans="1:4">
      <c r="A143" t="str">
        <f>'Organisation du service'!B9</f>
        <v>VOS100</v>
      </c>
      <c r="B143" t="str">
        <f>'Organisation du service'!C9</f>
        <v>Nombre de contrôles effectués par un prestataire ou un délégataire sur l’année N</v>
      </c>
      <c r="C143">
        <f>'Organisation du service'!D9</f>
        <v>0</v>
      </c>
      <c r="D143">
        <f>'Organisation du service'!G9</f>
        <v>0</v>
      </c>
    </row>
    <row r="144" spans="1:4">
      <c r="A144" t="str">
        <f>'Organisation du service'!B10</f>
        <v>VOS110</v>
      </c>
      <c r="B144" t="str">
        <f>'Organisation du service'!C10</f>
        <v>Taux de contrôles réalisés par un prestataire ou un délégataire sur l'année N</v>
      </c>
      <c r="C144" t="str">
        <f>'Organisation du service'!D10</f>
        <v/>
      </c>
      <c r="D144">
        <f>'Organisation du service'!G10</f>
        <v>0</v>
      </c>
    </row>
    <row r="145" spans="1:4">
      <c r="A145" t="str">
        <f>'Organisation du service'!B11</f>
        <v>VOS101</v>
      </c>
      <c r="B145" t="str">
        <f>'Organisation du service'!C11</f>
        <v>- Dont contrôles de bon fonctionnement périodique</v>
      </c>
      <c r="C145">
        <f>'Organisation du service'!D11</f>
        <v>0</v>
      </c>
      <c r="D145">
        <f>'Organisation du service'!G11</f>
        <v>0</v>
      </c>
    </row>
    <row r="146" spans="1:4">
      <c r="A146" t="str">
        <f>'Organisation du service'!B12</f>
        <v>VOS102</v>
      </c>
      <c r="B146" t="str">
        <f>'Organisation du service'!C12</f>
        <v>- Dont contrôles de bon fonctionnement vente</v>
      </c>
      <c r="C146">
        <f>'Organisation du service'!D12</f>
        <v>0</v>
      </c>
      <c r="D146">
        <f>'Organisation du service'!G12</f>
        <v>0</v>
      </c>
    </row>
    <row r="147" spans="1:4">
      <c r="A147" t="str">
        <f>'Organisation du service'!B13</f>
        <v>VOS103</v>
      </c>
      <c r="B147" t="str">
        <f>'Organisation du service'!C13</f>
        <v>- Dont contrôles de bon fonctionnement diagnostic initial</v>
      </c>
      <c r="C147">
        <f>'Organisation du service'!D13</f>
        <v>0</v>
      </c>
      <c r="D147">
        <f>'Organisation du service'!G13</f>
        <v>0</v>
      </c>
    </row>
    <row r="148" spans="1:4">
      <c r="A148" t="str">
        <f>'Organisation du service'!B14</f>
        <v>VOS104</v>
      </c>
      <c r="B148" t="str">
        <f>'Organisation du service'!C14</f>
        <v>- Dont Conception</v>
      </c>
      <c r="C148">
        <f>'Organisation du service'!D14</f>
        <v>0</v>
      </c>
      <c r="D148">
        <f>'Organisation du service'!G14</f>
        <v>0</v>
      </c>
    </row>
    <row r="149" spans="1:4">
      <c r="A149" t="str">
        <f>'Organisation du service'!B15</f>
        <v>VOS105</v>
      </c>
      <c r="B149" t="str">
        <f>'Organisation du service'!C15</f>
        <v>- Dont Réalisation</v>
      </c>
      <c r="C149">
        <f>'Organisation du service'!D15</f>
        <v>0</v>
      </c>
      <c r="D149">
        <f>'Organisation du service'!G15</f>
        <v>0</v>
      </c>
    </row>
    <row r="150" spans="1:4">
      <c r="A150" t="str">
        <f>'Organisation du service'!B16</f>
        <v>VOS106</v>
      </c>
      <c r="B150" t="str">
        <f>'Organisation du service'!C16</f>
        <v>La collectivité a-t-elle un ou des agent(s) dédié(s) au suivi des contrats de délégation ou de prestation en ANC chargés de contrôler les éventuels délégataires                                 ou prestataires ?</v>
      </c>
      <c r="C150">
        <f>'Organisation du service'!D16</f>
        <v>0</v>
      </c>
      <c r="D150">
        <f>'Organisation du service'!G16</f>
        <v>0</v>
      </c>
    </row>
    <row r="151" spans="1:4">
      <c r="A151" t="str">
        <f>'Organisation du service'!B17</f>
        <v>ETP du service</v>
      </c>
      <c r="B151">
        <f>'Organisation du service'!C17</f>
        <v>0</v>
      </c>
      <c r="C151">
        <f>'Organisation du service'!D17</f>
        <v>0</v>
      </c>
      <c r="D151">
        <f>'Organisation du service'!G17</f>
        <v>0</v>
      </c>
    </row>
    <row r="152" spans="1:4">
      <c r="A152" t="str">
        <f>'Organisation du service'!B18</f>
        <v>VOS300</v>
      </c>
      <c r="B152" t="str">
        <f>'Organisation du service'!C18</f>
        <v>Nombre d'ETP total</v>
      </c>
      <c r="C152">
        <f>'Organisation du service'!D18</f>
        <v>0</v>
      </c>
      <c r="D152">
        <f>'Organisation du service'!G18</f>
        <v>0</v>
      </c>
    </row>
    <row r="153" spans="1:4">
      <c r="A153" t="str">
        <f>'Organisation du service'!B19</f>
        <v>VOS301</v>
      </c>
      <c r="B153" t="str">
        <f>'Organisation du service'!C19</f>
        <v>- Dont ETP techniques</v>
      </c>
      <c r="C153">
        <f>'Organisation du service'!D19</f>
        <v>0</v>
      </c>
      <c r="D153">
        <f>'Organisation du service'!G19</f>
        <v>0</v>
      </c>
    </row>
    <row r="154" spans="1:4">
      <c r="A154" t="str">
        <f>'Organisation du service'!B20</f>
        <v>VOS302</v>
      </c>
      <c r="B154" t="str">
        <f>'Organisation du service'!C20</f>
        <v>- Dont ETP administratifs</v>
      </c>
      <c r="C154">
        <f>'Organisation du service'!D20</f>
        <v>0</v>
      </c>
      <c r="D154">
        <f>'Organisation du service'!G20</f>
        <v>0</v>
      </c>
    </row>
    <row r="155" spans="1:4">
      <c r="A155" t="str">
        <f>'Organisation du service'!B21</f>
        <v>IPOS100</v>
      </c>
      <c r="B155" t="str">
        <f>'Organisation du service'!C21</f>
        <v>Nombre d’installations par ETP</v>
      </c>
      <c r="C155" t="str">
        <f>'Organisation du service'!D21</f>
        <v/>
      </c>
      <c r="D155">
        <f>'Organisation du service'!G21</f>
        <v>0</v>
      </c>
    </row>
    <row r="156" spans="1:4">
      <c r="A156" t="str">
        <f>'Organisation du service'!B22</f>
        <v>IPOS101</v>
      </c>
      <c r="B156" t="str">
        <f>'Organisation du service'!C22</f>
        <v xml:space="preserve">Nombre de contrôles par ETP </v>
      </c>
      <c r="C156" t="str">
        <f>'Organisation du service'!D22</f>
        <v/>
      </c>
      <c r="D156">
        <f>'Organisation du service'!G22</f>
        <v>0</v>
      </c>
    </row>
    <row r="157" spans="1:4">
      <c r="A157" t="str">
        <f>'Organisation du service'!B23</f>
        <v>VOS310</v>
      </c>
      <c r="B157" t="str">
        <f>'Organisation du service'!C23</f>
        <v>Les ETP sont-ils mutualisés avec l'assainissement collectif</v>
      </c>
      <c r="C157">
        <f>'Organisation du service'!D23</f>
        <v>0</v>
      </c>
      <c r="D157">
        <f>'Organisation du service'!G23</f>
        <v>0</v>
      </c>
    </row>
    <row r="158" spans="1:4">
      <c r="A158" t="str">
        <f>'Organisation du service'!B24</f>
        <v>Déroulement des contrôles</v>
      </c>
      <c r="B158">
        <f>'Organisation du service'!C24</f>
        <v>0</v>
      </c>
      <c r="C158">
        <f>'Organisation du service'!D24</f>
        <v>0</v>
      </c>
      <c r="D158">
        <f>'Organisation du service'!G24</f>
        <v>0</v>
      </c>
    </row>
    <row r="159" spans="1:4">
      <c r="A159" t="str">
        <f>'Organisation du service'!B25</f>
        <v>VOS400</v>
      </c>
      <c r="B159" t="str">
        <f>'Organisation du service'!C25</f>
        <v>Estimation du temps moyen pour un contrôle de bon fonctionnement hors temps de trajet</v>
      </c>
      <c r="C159" t="str">
        <f>'Organisation du service'!D25</f>
        <v/>
      </c>
      <c r="D159">
        <f>'Organisation du service'!G25</f>
        <v>0</v>
      </c>
    </row>
    <row r="160" spans="1:4">
      <c r="A160" t="str">
        <f>'Organisation du service'!B26</f>
        <v>VOS401</v>
      </c>
      <c r="B160" t="str">
        <f>'Organisation du service'!C26</f>
        <v>- Dont prise de RDV</v>
      </c>
      <c r="C160">
        <f>'Organisation du service'!D26</f>
        <v>0</v>
      </c>
      <c r="D160">
        <f>'Organisation du service'!G26</f>
        <v>0</v>
      </c>
    </row>
    <row r="161" spans="1:4">
      <c r="A161" t="str">
        <f>'Organisation du service'!B27</f>
        <v>VOS402</v>
      </c>
      <c r="B161" t="str">
        <f>'Organisation du service'!C27</f>
        <v>- Dont visite sur place</v>
      </c>
      <c r="C161">
        <f>'Organisation du service'!D27</f>
        <v>0</v>
      </c>
      <c r="D161">
        <f>'Organisation du service'!G27</f>
        <v>0</v>
      </c>
    </row>
    <row r="162" spans="1:4">
      <c r="A162" t="str">
        <f>'Organisation du service'!B28</f>
        <v>VOS403</v>
      </c>
      <c r="B162" t="str">
        <f>'Organisation du service'!C28</f>
        <v>- Dont édition du rapport</v>
      </c>
      <c r="C162">
        <f>'Organisation du service'!D28</f>
        <v>0</v>
      </c>
      <c r="D162">
        <f>'Organisation du service'!G28</f>
        <v>0</v>
      </c>
    </row>
    <row r="163" spans="1:4">
      <c r="A163" t="str">
        <f>'Organisation du service'!B29</f>
        <v>VOS404</v>
      </c>
      <c r="B163" t="str">
        <f>'Organisation du service'!C29</f>
        <v>- Temps de transport moyen</v>
      </c>
      <c r="C163">
        <f>'Organisation du service'!D29</f>
        <v>0</v>
      </c>
      <c r="D163">
        <f>'Organisation du service'!G29</f>
        <v>0</v>
      </c>
    </row>
    <row r="164" spans="1:4">
      <c r="A164" t="str">
        <f>'Organisation du service'!B30</f>
        <v>VOS410</v>
      </c>
      <c r="B164" t="str">
        <f>'Organisation du service'!C30</f>
        <v>Estimation du temps moyen pour un contrôle de bon fonctionnement, y compris temps de trajet</v>
      </c>
      <c r="C164" t="str">
        <f>'Organisation du service'!D30</f>
        <v/>
      </c>
      <c r="D164">
        <f>'Organisation du service'!G30</f>
        <v>0</v>
      </c>
    </row>
    <row r="165" spans="1:4">
      <c r="A165" t="str">
        <f>'Organisation du service'!B31</f>
        <v>VOS420</v>
      </c>
      <c r="B165" t="str">
        <f>'Organisation du service'!C31</f>
        <v>Coût du contrôle rapporté au temps de contrôle</v>
      </c>
      <c r="C165" t="str">
        <f>'Organisation du service'!D31</f>
        <v/>
      </c>
      <c r="D165">
        <f>'Organisation du service'!G31</f>
        <v>0</v>
      </c>
    </row>
    <row r="166" spans="1:4">
      <c r="A166" t="str">
        <f>'Organisation du service'!B32</f>
        <v>VOS500</v>
      </c>
      <c r="B166" t="str">
        <f>'Organisation du service'!C32</f>
        <v>Estimation du nombre de km parcourus par agent contrôleur par mois</v>
      </c>
      <c r="C166">
        <f>'Organisation du service'!D32</f>
        <v>0</v>
      </c>
      <c r="D166">
        <f>'Organisation du service'!G32</f>
        <v>0</v>
      </c>
    </row>
    <row r="167" spans="1:4">
      <c r="A167" t="str">
        <f>'Organisation du service'!B33</f>
        <v>VOS601</v>
      </c>
      <c r="B167" t="str">
        <f>'Organisation du service'!C33</f>
        <v>Existence d’un logiciel de gestion des données</v>
      </c>
      <c r="C167">
        <f>'Organisation du service'!D33</f>
        <v>0</v>
      </c>
      <c r="D167">
        <f>'Organisation du service'!G33</f>
        <v>0</v>
      </c>
    </row>
    <row r="168" spans="1:4">
      <c r="A168" t="str">
        <f>'Organisation du service'!B34</f>
        <v>VOS602</v>
      </c>
      <c r="B168" t="str">
        <f>'Organisation du service'!C34</f>
        <v>Lien avec logiciel de cartographie</v>
      </c>
      <c r="C168">
        <f>'Organisation du service'!D34</f>
        <v>0</v>
      </c>
      <c r="D168">
        <f>'Organisation du service'!G34</f>
        <v>0</v>
      </c>
    </row>
    <row r="169" spans="1:4">
      <c r="A169" t="str">
        <f>'Organisation du service'!B35</f>
        <v>VOS603</v>
      </c>
      <c r="B169" t="str">
        <f>'Organisation du service'!C35</f>
        <v>Tablettes portatives ou smartphone</v>
      </c>
      <c r="C169">
        <f>'Organisation du service'!D35</f>
        <v>0</v>
      </c>
      <c r="D169">
        <f>'Organisation du service'!G35</f>
        <v>0</v>
      </c>
    </row>
    <row r="170" spans="1:4">
      <c r="A170" t="str">
        <f>'Organisation du service'!B36</f>
        <v>VOS601pts</v>
      </c>
      <c r="B170">
        <f>'Organisation du service'!C36</f>
        <v>0</v>
      </c>
      <c r="C170">
        <f>'Organisation du service'!D36</f>
        <v>0</v>
      </c>
      <c r="D170">
        <f>'Organisation du service'!G36</f>
        <v>0</v>
      </c>
    </row>
    <row r="171" spans="1:4">
      <c r="A171" t="str">
        <f>'Organisation du service'!B37</f>
        <v>VOS602pts</v>
      </c>
      <c r="B171">
        <f>'Organisation du service'!C37</f>
        <v>0</v>
      </c>
      <c r="C171">
        <f>'Organisation du service'!D37</f>
        <v>0</v>
      </c>
      <c r="D171">
        <f>'Organisation du service'!G37</f>
        <v>0</v>
      </c>
    </row>
    <row r="172" spans="1:4">
      <c r="A172" t="str">
        <f>'Organisation du service'!B38</f>
        <v>VOS603pts</v>
      </c>
      <c r="B172">
        <f>'Organisation du service'!C38</f>
        <v>0</v>
      </c>
      <c r="C172">
        <f>'Organisation du service'!D38</f>
        <v>0</v>
      </c>
      <c r="D172">
        <f>'Organisation du service'!G38</f>
        <v>0</v>
      </c>
    </row>
    <row r="173" spans="1:4">
      <c r="A173" t="str">
        <f>'Organisation du service'!B39</f>
        <v>POS6</v>
      </c>
      <c r="B173" t="str">
        <f>'Organisation du service'!C39</f>
        <v>Indice de gestion des données</v>
      </c>
      <c r="C173">
        <f>'Organisation du service'!D39</f>
        <v>0</v>
      </c>
      <c r="D173">
        <f>'Organisation du service'!G39</f>
        <v>0</v>
      </c>
    </row>
    <row r="174" spans="1:4">
      <c r="A174" t="str">
        <f>'Organisation du service'!B40</f>
        <v>VC100_tps</v>
      </c>
      <c r="B174" t="str">
        <f>'Organisation du service'!C40</f>
        <v>nb CBF uniqt pr collect ayant répondu sur estimation du tps</v>
      </c>
      <c r="C174" t="str">
        <f>'Organisation du service'!D40</f>
        <v/>
      </c>
      <c r="D174">
        <f>'Organisation du service'!G40</f>
        <v>0</v>
      </c>
    </row>
    <row r="175" spans="1:4">
      <c r="A175" t="str">
        <f>'Organisation du service'!B41</f>
        <v>VOS400_tot</v>
      </c>
      <c r="B175" t="str">
        <f>'Organisation du service'!C41</f>
        <v>total tps contrôle hors trajet par collect pr pondérer</v>
      </c>
      <c r="C175" t="str">
        <f>'Organisation du service'!D41</f>
        <v/>
      </c>
      <c r="D175">
        <f>'Organisation du service'!G41</f>
        <v>0</v>
      </c>
    </row>
    <row r="176" spans="1:4">
      <c r="A176" t="str">
        <f>'Organisation du service'!B42</f>
        <v>VOS401_tot</v>
      </c>
      <c r="B176" t="str">
        <f>'Organisation du service'!C42</f>
        <v>total par collect pr pondérer</v>
      </c>
      <c r="C176">
        <f>'Organisation du service'!D42</f>
        <v>0</v>
      </c>
      <c r="D176">
        <f>'Organisation du service'!G42</f>
        <v>0</v>
      </c>
    </row>
    <row r="177" spans="1:4">
      <c r="A177" t="str">
        <f>'Organisation du service'!B43</f>
        <v>VOS402_tot</v>
      </c>
      <c r="B177" t="str">
        <f>'Organisation du service'!C43</f>
        <v>total par collect pr pondérer</v>
      </c>
      <c r="C177">
        <f>'Organisation du service'!D43</f>
        <v>0</v>
      </c>
      <c r="D177">
        <f>'Organisation du service'!G43</f>
        <v>0</v>
      </c>
    </row>
    <row r="178" spans="1:4">
      <c r="A178" t="str">
        <f>'Organisation du service'!B44</f>
        <v>VOS403_tot</v>
      </c>
      <c r="B178" t="str">
        <f>'Organisation du service'!C44</f>
        <v>total par collect pr pondérer</v>
      </c>
      <c r="C178">
        <f>'Organisation du service'!D44</f>
        <v>0</v>
      </c>
      <c r="D178">
        <f>'Organisation du service'!G44</f>
        <v>0</v>
      </c>
    </row>
    <row r="179" spans="1:4">
      <c r="A179">
        <f>'Organisation du service'!B45</f>
        <v>0</v>
      </c>
      <c r="B179">
        <f>'Organisation du service'!C45</f>
        <v>0</v>
      </c>
      <c r="C179">
        <f>'Organisation du service'!D45</f>
        <v>0</v>
      </c>
      <c r="D179">
        <f>'Organisation du service'!G45</f>
        <v>0</v>
      </c>
    </row>
    <row r="180" spans="1:4">
      <c r="B180" s="148" t="s">
        <v>90</v>
      </c>
    </row>
    <row r="181" spans="1:4">
      <c r="A181" t="str">
        <f>'Aspects financiers'!B5</f>
        <v>VBS1</v>
      </c>
      <c r="B181" t="str">
        <f>'Aspects financiers'!C5</f>
        <v>Montant des dépenses d'exploitation</v>
      </c>
      <c r="C181">
        <f>'Aspects financiers'!D5</f>
        <v>0</v>
      </c>
      <c r="D181">
        <f>'Aspects financiers'!G5</f>
        <v>0</v>
      </c>
    </row>
    <row r="182" spans="1:4">
      <c r="A182" t="str">
        <f>'Aspects financiers'!B6</f>
        <v>VBS2</v>
      </c>
      <c r="B182" t="str">
        <f>'Aspects financiers'!C6</f>
        <v>Montant des recettes d'exploitation</v>
      </c>
      <c r="C182">
        <f>'Aspects financiers'!D6</f>
        <v>0</v>
      </c>
      <c r="D182">
        <f>'Aspects financiers'!G6</f>
        <v>0</v>
      </c>
    </row>
    <row r="183" spans="1:4">
      <c r="A183" t="str">
        <f>'Aspects financiers'!B7</f>
        <v>VBR1</v>
      </c>
      <c r="B183" t="str">
        <f>'Aspects financiers'!C7</f>
        <v>Montant des dépenses d'exploitation rapporté au nombre d'installations</v>
      </c>
      <c r="C183" t="str">
        <f>'Aspects financiers'!D7</f>
        <v/>
      </c>
      <c r="D183">
        <f>'Aspects financiers'!G7</f>
        <v>0</v>
      </c>
    </row>
    <row r="184" spans="1:4">
      <c r="A184" t="str">
        <f>'Aspects financiers'!B8</f>
        <v>VBR2</v>
      </c>
      <c r="B184" t="str">
        <f>'Aspects financiers'!C8</f>
        <v>Montant des dépenses d'exploitation rapporté au nombre de contrôles</v>
      </c>
      <c r="C184" t="str">
        <f>'Aspects financiers'!D8</f>
        <v/>
      </c>
      <c r="D184">
        <f>'Aspects financiers'!G8</f>
        <v>0</v>
      </c>
    </row>
    <row r="185" spans="1:4">
      <c r="A185" t="str">
        <f>'Aspects financiers'!B9</f>
        <v>VBR3</v>
      </c>
      <c r="B185" t="str">
        <f>'Aspects financiers'!C9</f>
        <v>Montant des recettes d'exploitation rapporté au nombre d'installations</v>
      </c>
      <c r="C185" t="str">
        <f>'Aspects financiers'!D9</f>
        <v/>
      </c>
      <c r="D185">
        <f>'Aspects financiers'!G9</f>
        <v>0</v>
      </c>
    </row>
    <row r="186" spans="1:4">
      <c r="A186" t="str">
        <f>'Aspects financiers'!B10</f>
        <v>VBR4</v>
      </c>
      <c r="B186" t="str">
        <f>'Aspects financiers'!C10</f>
        <v>Montant des recettes d'exploitation rapporté au nombre de contrôles</v>
      </c>
      <c r="C186" t="str">
        <f>'Aspects financiers'!D10</f>
        <v/>
      </c>
      <c r="D186">
        <f>'Aspects financiers'!G10</f>
        <v>0</v>
      </c>
    </row>
    <row r="187" spans="1:4">
      <c r="A187" t="str">
        <f>'Aspects financiers'!B11</f>
        <v>Tarification</v>
      </c>
      <c r="B187">
        <f>'Aspects financiers'!C11</f>
        <v>0</v>
      </c>
      <c r="C187">
        <f>'Aspects financiers'!D11</f>
        <v>0</v>
      </c>
      <c r="D187">
        <f>'Aspects financiers'!G11</f>
        <v>0</v>
      </c>
    </row>
    <row r="188" spans="1:4">
      <c r="A188" t="str">
        <f>'Aspects financiers'!B12</f>
        <v>DCF196</v>
      </c>
      <c r="B188" t="str">
        <f>'Aspects financiers'!C12</f>
        <v>Annualisation de la redevance forfaitaire du contrôle de bon fonctionnement</v>
      </c>
      <c r="C188">
        <f>'Aspects financiers'!D12</f>
        <v>0</v>
      </c>
      <c r="D188">
        <f>'Aspects financiers'!G12</f>
        <v>0</v>
      </c>
    </row>
    <row r="189" spans="1:4">
      <c r="A189" t="str">
        <f>'Aspects financiers'!B13</f>
        <v>DCF196base</v>
      </c>
      <c r="B189" t="str">
        <f>'Aspects financiers'!C13</f>
        <v>Montant TTC de la redevance du contrôle de bon fonctionnement ou de l'annualisation de cette dernière</v>
      </c>
      <c r="C189">
        <f>'Aspects financiers'!D13</f>
        <v>0</v>
      </c>
      <c r="D189">
        <f>'Aspects financiers'!G13</f>
        <v>0</v>
      </c>
    </row>
    <row r="190" spans="1:4">
      <c r="A190" t="str">
        <f>'Aspects financiers'!B14</f>
        <v>DC196</v>
      </c>
      <c r="B190" t="str">
        <f>'Aspects financiers'!C14</f>
        <v>Tarif TTC du contrôle de bon fonctionnement</v>
      </c>
      <c r="C190" t="str">
        <f>'Aspects financiers'!D14</f>
        <v/>
      </c>
      <c r="D190">
        <f>'Aspects financiers'!G14</f>
        <v>0</v>
      </c>
    </row>
    <row r="191" spans="1:4">
      <c r="A191" t="str">
        <f>'Aspects financiers'!B15</f>
        <v>DC196.1</v>
      </c>
      <c r="B191" t="str">
        <f>'Aspects financiers'!C15</f>
        <v>- Montant TTC spécifique en cas de vente</v>
      </c>
      <c r="C191">
        <f>'Aspects financiers'!D15</f>
        <v>0</v>
      </c>
      <c r="D191">
        <f>'Aspects financiers'!G15</f>
        <v>0</v>
      </c>
    </row>
    <row r="192" spans="1:4">
      <c r="A192" t="str">
        <f>'Aspects financiers'!B16</f>
        <v>DC325</v>
      </c>
      <c r="B192" t="str">
        <f>'Aspects financiers'!C16</f>
        <v>Tarif TTC de l’examen préalable de la conception</v>
      </c>
      <c r="C192">
        <f>'Aspects financiers'!D16</f>
        <v>0</v>
      </c>
      <c r="D192">
        <f>'Aspects financiers'!G16</f>
        <v>0</v>
      </c>
    </row>
    <row r="193" spans="1:4">
      <c r="A193" t="str">
        <f>'Aspects financiers'!B17</f>
        <v>DC326</v>
      </c>
      <c r="B193" t="str">
        <f>'Aspects financiers'!C17</f>
        <v>Tarif TTC de vérification de l'exécution des travaux</v>
      </c>
      <c r="C193">
        <f>'Aspects financiers'!D17</f>
        <v>0</v>
      </c>
      <c r="D193">
        <f>'Aspects financiers'!G17</f>
        <v>0</v>
      </c>
    </row>
    <row r="194" spans="1:4">
      <c r="A194" t="str">
        <f>'Aspects financiers'!B18</f>
        <v>DC197</v>
      </c>
      <c r="B194" t="str">
        <f>'Aspects financiers'!C18</f>
        <v>Montant des recettes provenant des contrôles</v>
      </c>
      <c r="C194">
        <f>'Aspects financiers'!D18</f>
        <v>0</v>
      </c>
      <c r="D194">
        <f>'Aspects financiers'!G18</f>
        <v>0</v>
      </c>
    </row>
    <row r="195" spans="1:4">
      <c r="A195" t="str">
        <f>'Aspects financiers'!B19</f>
        <v>VBS2</v>
      </c>
      <c r="B195" t="str">
        <f>'Aspects financiers'!C19</f>
        <v>Autres recettes</v>
      </c>
      <c r="C195">
        <f>'Aspects financiers'!D19</f>
        <v>0</v>
      </c>
      <c r="D195">
        <f>'Aspects financiers'!G19</f>
        <v>0</v>
      </c>
    </row>
    <row r="196" spans="1:4">
      <c r="A196" t="str">
        <f>'Aspects financiers'!B21</f>
        <v>VBS3</v>
      </c>
      <c r="B196" t="str">
        <f>'Aspects financiers'!C21</f>
        <v>Montant des impayés au 31/12/N sur les factures d'assainissement émises dans l'année N-1</v>
      </c>
      <c r="C196">
        <f>'Aspects financiers'!D21</f>
        <v>0</v>
      </c>
      <c r="D196">
        <f>'Aspects financiers'!G21</f>
        <v>0</v>
      </c>
    </row>
    <row r="197" spans="1:4">
      <c r="A197" t="str">
        <f>'Aspects financiers'!B22</f>
        <v>VBS4</v>
      </c>
      <c r="B197" t="str">
        <f>'Aspects financiers'!C22</f>
        <v>Montant total des factures émises dans l'année N-1</v>
      </c>
      <c r="C197">
        <f>'Aspects financiers'!D22</f>
        <v>0</v>
      </c>
      <c r="D197">
        <f>'Aspects financiers'!G22</f>
        <v>0</v>
      </c>
    </row>
    <row r="198" spans="1:4">
      <c r="A198" t="str">
        <f>'Aspects financiers'!B23</f>
        <v>VBS5</v>
      </c>
      <c r="B198" t="str">
        <f>'Aspects financiers'!C23</f>
        <v>Taux d'impayés au 31/12/N sur les facture d'assainissement émises en N-1</v>
      </c>
      <c r="C198" t="str">
        <f>'Aspects financiers'!D23</f>
        <v/>
      </c>
      <c r="D198">
        <f>'Aspects financiers'!G23</f>
        <v>0</v>
      </c>
    </row>
    <row r="199" spans="1:4">
      <c r="A199" t="str">
        <f>'Aspects financiers'!B24</f>
        <v>VBST</v>
      </c>
      <c r="B199" t="str">
        <f>'Aspects financiers'!C24</f>
        <v>Régie de recettes</v>
      </c>
      <c r="C199">
        <f>'Aspects financiers'!D24</f>
        <v>0</v>
      </c>
      <c r="D199">
        <f>'Aspects financiers'!G24</f>
        <v>0</v>
      </c>
    </row>
    <row r="200" spans="1:4">
      <c r="A200" t="str">
        <f>'Aspects financiers'!B25</f>
        <v>VBS4</v>
      </c>
      <c r="B200" t="str">
        <f>'Aspects financiers'!C25</f>
        <v>Montant des abandons de créances prononcés durant l'année</v>
      </c>
      <c r="C200">
        <f>'Aspects financiers'!D25</f>
        <v>0</v>
      </c>
      <c r="D200">
        <f>'Aspects financiers'!G25</f>
        <v>0</v>
      </c>
    </row>
    <row r="201" spans="1:4">
      <c r="A201" t="str">
        <f>'Aspects financiers'!B26</f>
        <v>VBSAC</v>
      </c>
      <c r="B201" t="str">
        <f>'Aspects financiers'!C26</f>
        <v>Budget ANC dédié ou commun avec AC ?</v>
      </c>
      <c r="C201">
        <f>'Aspects financiers'!D26</f>
        <v>0</v>
      </c>
      <c r="D201">
        <f>'Aspects financiers'!G26</f>
        <v>0</v>
      </c>
    </row>
    <row r="202" spans="1:4">
      <c r="A202" t="str">
        <f>'Aspects financiers'!B27</f>
        <v>DC196_tot</v>
      </c>
      <c r="B202" t="str">
        <f>'Aspects financiers'!C27</f>
        <v>total par collect pr pondérer</v>
      </c>
      <c r="C202" t="e">
        <f>'Aspects financiers'!D27</f>
        <v>#VALUE!</v>
      </c>
      <c r="D202">
        <f>'Aspects financiers'!G27</f>
        <v>0</v>
      </c>
    </row>
    <row r="203" spans="1:4">
      <c r="A203" t="str">
        <f>'Aspects financiers'!B28</f>
        <v>DC196.1_tot</v>
      </c>
      <c r="B203" t="str">
        <f>'Aspects financiers'!C28</f>
        <v>total par collect pr pondérer</v>
      </c>
      <c r="C203">
        <f>'Aspects financiers'!D28</f>
        <v>0</v>
      </c>
      <c r="D203">
        <f>'Aspects financiers'!G28</f>
        <v>0</v>
      </c>
    </row>
    <row r="204" spans="1:4">
      <c r="A204" t="str">
        <f>'Aspects financiers'!B29</f>
        <v>DC325_tot</v>
      </c>
      <c r="B204" t="str">
        <f>'Aspects financiers'!C29</f>
        <v>total par collect pr pondérer</v>
      </c>
      <c r="C204">
        <f>'Aspects financiers'!D29</f>
        <v>0</v>
      </c>
      <c r="D204">
        <f>'Aspects financiers'!G29</f>
        <v>0</v>
      </c>
    </row>
    <row r="205" spans="1:4">
      <c r="A205" t="str">
        <f>'Aspects financiers'!B30</f>
        <v>DC326_tot</v>
      </c>
      <c r="B205" t="str">
        <f>'Aspects financiers'!C30</f>
        <v>total par collect pr pondérer</v>
      </c>
      <c r="C205">
        <f>'Aspects financiers'!D30</f>
        <v>0</v>
      </c>
      <c r="D205">
        <f>'Aspects financiers'!G30</f>
        <v>0</v>
      </c>
    </row>
    <row r="206" spans="1:4">
      <c r="A206">
        <f>'Aspects financiers'!B31</f>
        <v>0</v>
      </c>
      <c r="B206">
        <f>'Aspects financiers'!C31</f>
        <v>0</v>
      </c>
      <c r="C206">
        <f>'Aspects financiers'!D31</f>
        <v>0</v>
      </c>
      <c r="D206">
        <f>'Aspects financiers'!G31</f>
        <v>0</v>
      </c>
    </row>
    <row r="207" spans="1:4">
      <c r="A207">
        <f>'Aspects financiers'!B32</f>
        <v>0</v>
      </c>
      <c r="B207">
        <f>'Aspects financiers'!C32</f>
        <v>0</v>
      </c>
      <c r="C207">
        <f>'Aspects financiers'!D32</f>
        <v>0</v>
      </c>
      <c r="D207">
        <f>'Aspects financiers'!G32</f>
        <v>0</v>
      </c>
    </row>
    <row r="208" spans="1:4">
      <c r="A208">
        <f>'Aspects financiers'!B33</f>
        <v>0</v>
      </c>
      <c r="B208">
        <f>'Aspects financiers'!C33</f>
        <v>0</v>
      </c>
      <c r="C208">
        <f>'Aspects financiers'!D33</f>
        <v>0</v>
      </c>
      <c r="D208">
        <f>'Aspects financiers'!G33</f>
        <v>0</v>
      </c>
    </row>
  </sheetData>
  <sheetProtection algorithmName="SHA-512" hashValue="GgY2iaYL8vzyyXvbSFtS8qflL9NThH/aRIV6XEztk69M5re3IMAvJVt/r9eMjYbegge3iX6vRdkHe/EEEbNNNg==" saltValue="3Ls/ql0+Gcdn+9jhCmflA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Notice</vt:lpstr>
      <vt:lpstr>Contexte</vt:lpstr>
      <vt:lpstr>service aux usagers</vt:lpstr>
      <vt:lpstr>activité de contrôle</vt:lpstr>
      <vt:lpstr>Organisation du service</vt:lpstr>
      <vt:lpstr>Aspects financiers</vt:lpstr>
      <vt:lpstr>EXTRACTION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rosenthal</dc:creator>
  <cp:lastModifiedBy>Elena ROQUES</cp:lastModifiedBy>
  <dcterms:created xsi:type="dcterms:W3CDTF">2015-06-05T18:19:34Z</dcterms:created>
  <dcterms:modified xsi:type="dcterms:W3CDTF">2026-02-19T16:19:46Z</dcterms:modified>
</cp:coreProperties>
</file>